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5970" windowWidth="19155" windowHeight="59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30" i="1"/>
  <c r="F110"/>
  <c r="F109"/>
  <c r="F97"/>
  <c r="E83"/>
  <c r="E110"/>
  <c r="F84" l="1"/>
  <c r="F82"/>
  <c r="F81"/>
  <c r="F79"/>
  <c r="F76"/>
  <c r="F72"/>
  <c r="F64"/>
  <c r="F63"/>
  <c r="F59"/>
  <c r="F55"/>
  <c r="F52"/>
  <c r="F51"/>
  <c r="F47"/>
  <c r="F44"/>
  <c r="F38"/>
  <c r="F32"/>
  <c r="F31"/>
  <c r="F29"/>
  <c r="F133"/>
  <c r="F129"/>
  <c r="F125"/>
  <c r="F120"/>
  <c r="F114"/>
  <c r="F101"/>
  <c r="F83"/>
  <c r="F70"/>
  <c r="F136"/>
  <c r="F137"/>
  <c r="F138"/>
  <c r="F142"/>
  <c r="F147"/>
  <c r="F159"/>
  <c r="F160"/>
  <c r="F162"/>
  <c r="F163"/>
  <c r="E163"/>
  <c r="E162"/>
  <c r="E160"/>
  <c r="E159"/>
  <c r="E147"/>
  <c r="E142"/>
  <c r="E138"/>
  <c r="E136"/>
  <c r="E133"/>
  <c r="E130"/>
  <c r="E129"/>
  <c r="E125"/>
  <c r="E120"/>
  <c r="E114"/>
  <c r="E107"/>
  <c r="E103"/>
  <c r="E101"/>
  <c r="E95"/>
  <c r="E92"/>
  <c r="E89"/>
  <c r="E88"/>
  <c r="E82"/>
  <c r="E81"/>
  <c r="E79"/>
  <c r="E76"/>
  <c r="E64"/>
  <c r="E63"/>
  <c r="E59"/>
  <c r="E55"/>
  <c r="E52"/>
  <c r="E51"/>
  <c r="E44"/>
  <c r="E38"/>
  <c r="E32"/>
  <c r="E31"/>
  <c r="E29"/>
  <c r="D163"/>
  <c r="D162"/>
  <c r="D160"/>
  <c r="D159"/>
  <c r="D147"/>
  <c r="D142"/>
  <c r="D138"/>
  <c r="D136"/>
  <c r="D133"/>
  <c r="D130"/>
  <c r="D129"/>
  <c r="D125"/>
  <c r="D120"/>
  <c r="D114"/>
  <c r="D107"/>
  <c r="D103"/>
  <c r="D101"/>
  <c r="D95"/>
  <c r="D92"/>
  <c r="D89"/>
  <c r="D88"/>
  <c r="D83"/>
  <c r="D82"/>
  <c r="D81"/>
  <c r="D79"/>
  <c r="D64"/>
  <c r="D63"/>
  <c r="D59"/>
  <c r="D55"/>
  <c r="D52"/>
  <c r="D51"/>
  <c r="D44"/>
  <c r="D38"/>
  <c r="D32"/>
  <c r="D31"/>
  <c r="D29"/>
  <c r="E21"/>
  <c r="D21"/>
  <c r="F166"/>
  <c r="F165"/>
  <c r="F164"/>
  <c r="E166"/>
  <c r="E165"/>
  <c r="E164"/>
  <c r="F158"/>
  <c r="E158"/>
  <c r="D166"/>
  <c r="D165"/>
  <c r="D164"/>
  <c r="D158"/>
  <c r="F154"/>
  <c r="F153"/>
  <c r="F152"/>
  <c r="F151"/>
  <c r="F150"/>
  <c r="F149"/>
  <c r="F148"/>
  <c r="E154"/>
  <c r="E153"/>
  <c r="E152"/>
  <c r="E151"/>
  <c r="E150"/>
  <c r="E149"/>
  <c r="E148"/>
  <c r="D154"/>
  <c r="D153"/>
  <c r="D152"/>
  <c r="D151"/>
  <c r="D150"/>
  <c r="D149"/>
  <c r="D148"/>
  <c r="F145"/>
  <c r="F144"/>
  <c r="F143"/>
  <c r="E145"/>
  <c r="E144"/>
  <c r="E143"/>
  <c r="D145"/>
  <c r="D144"/>
  <c r="D143"/>
  <c r="F135"/>
  <c r="F134"/>
  <c r="E137"/>
  <c r="E135"/>
  <c r="E134"/>
  <c r="D137"/>
  <c r="D135"/>
  <c r="D134"/>
  <c r="F131"/>
  <c r="E131"/>
  <c r="D131"/>
  <c r="F124"/>
  <c r="F123"/>
  <c r="F122"/>
  <c r="F121"/>
  <c r="F119"/>
  <c r="E124"/>
  <c r="E123"/>
  <c r="E122"/>
  <c r="E121"/>
  <c r="E119"/>
  <c r="D124"/>
  <c r="D123"/>
  <c r="D122"/>
  <c r="D121"/>
  <c r="D119"/>
  <c r="F117"/>
  <c r="F116"/>
  <c r="F115"/>
  <c r="E117"/>
  <c r="E116"/>
  <c r="E115"/>
  <c r="D117"/>
  <c r="D116"/>
  <c r="D115"/>
  <c r="F108"/>
  <c r="F107"/>
  <c r="F106"/>
  <c r="F105"/>
  <c r="E109"/>
  <c r="E108"/>
  <c r="E106"/>
  <c r="E105"/>
  <c r="D109"/>
  <c r="D108"/>
  <c r="D106"/>
  <c r="D105"/>
  <c r="F103"/>
  <c r="F102"/>
  <c r="E102"/>
  <c r="D102"/>
  <c r="F96"/>
  <c r="F95"/>
  <c r="F94"/>
  <c r="F93"/>
  <c r="F92"/>
  <c r="E97"/>
  <c r="E96"/>
  <c r="E94"/>
  <c r="E93"/>
  <c r="D97"/>
  <c r="D96"/>
  <c r="D94"/>
  <c r="D93"/>
  <c r="F90"/>
  <c r="F89"/>
  <c r="F88"/>
  <c r="E90"/>
  <c r="D90"/>
  <c r="E84"/>
  <c r="D84"/>
  <c r="F78"/>
  <c r="F77"/>
  <c r="E78"/>
  <c r="E77"/>
  <c r="D78"/>
  <c r="D77"/>
  <c r="D76"/>
  <c r="F71"/>
  <c r="F69"/>
  <c r="F68"/>
  <c r="F67"/>
  <c r="F66"/>
  <c r="E72"/>
  <c r="E71"/>
  <c r="E70"/>
  <c r="E69"/>
  <c r="E68"/>
  <c r="E67"/>
  <c r="E66"/>
  <c r="D72"/>
  <c r="D71"/>
  <c r="D70"/>
  <c r="D69"/>
  <c r="D68"/>
  <c r="D67"/>
  <c r="D66"/>
  <c r="D65"/>
  <c r="F58"/>
  <c r="F57"/>
  <c r="F56"/>
  <c r="E58"/>
  <c r="E57"/>
  <c r="E56"/>
  <c r="F53"/>
  <c r="E53"/>
  <c r="D58"/>
  <c r="D57"/>
  <c r="D56"/>
  <c r="D53"/>
  <c r="F46"/>
  <c r="F45"/>
  <c r="F43"/>
  <c r="F42"/>
  <c r="F41"/>
  <c r="E47"/>
  <c r="E46"/>
  <c r="E45"/>
  <c r="E43"/>
  <c r="E42"/>
  <c r="E41"/>
  <c r="D47"/>
  <c r="D46"/>
  <c r="D45"/>
  <c r="D43"/>
  <c r="D42"/>
  <c r="D41"/>
  <c r="F39"/>
  <c r="F37"/>
  <c r="F36"/>
  <c r="E39"/>
  <c r="E37"/>
  <c r="E36"/>
  <c r="D39"/>
  <c r="D37"/>
  <c r="D36"/>
  <c r="F30"/>
  <c r="F28"/>
  <c r="F27"/>
  <c r="E30"/>
  <c r="E28"/>
  <c r="E27"/>
  <c r="D30"/>
  <c r="D28"/>
  <c r="D27"/>
  <c r="F25"/>
  <c r="F24"/>
  <c r="F23"/>
  <c r="F22"/>
  <c r="F21"/>
  <c r="E25"/>
  <c r="E24"/>
  <c r="E23"/>
  <c r="E22"/>
  <c r="D25"/>
  <c r="D24"/>
  <c r="D23"/>
  <c r="D22"/>
  <c r="F17"/>
  <c r="F16"/>
  <c r="F15"/>
  <c r="F14"/>
  <c r="F13"/>
  <c r="F12"/>
  <c r="F11"/>
  <c r="F10"/>
  <c r="F8"/>
  <c r="E16"/>
  <c r="E15"/>
  <c r="E14"/>
  <c r="E13"/>
  <c r="E12"/>
  <c r="E11"/>
  <c r="E10"/>
  <c r="D15"/>
  <c r="D14"/>
  <c r="D13"/>
  <c r="D12"/>
  <c r="D11"/>
  <c r="D10"/>
  <c r="D18" s="1"/>
  <c r="F98" l="1"/>
  <c r="F91"/>
  <c r="F80"/>
  <c r="F65"/>
  <c r="F60"/>
  <c r="F54"/>
  <c r="F48"/>
  <c r="F40"/>
  <c r="F18"/>
  <c r="C18"/>
  <c r="F99" l="1"/>
  <c r="F49"/>
  <c r="F61"/>
  <c r="F104"/>
  <c r="C33" l="1"/>
  <c r="F146" l="1"/>
  <c r="F161"/>
  <c r="F167" l="1"/>
  <c r="F168" s="1"/>
  <c r="F155"/>
  <c r="F156" s="1"/>
  <c r="F132" l="1"/>
  <c r="F139" l="1"/>
  <c r="F140" s="1"/>
  <c r="F85"/>
  <c r="F86" s="1"/>
  <c r="F118"/>
  <c r="F126" l="1"/>
  <c r="F127" s="1"/>
  <c r="C126"/>
  <c r="F111"/>
  <c r="F112" s="1"/>
  <c r="F73" l="1"/>
  <c r="F74" s="1"/>
  <c r="F33" l="1"/>
  <c r="F26"/>
  <c r="F9"/>
  <c r="F19" s="1"/>
  <c r="F34" l="1"/>
  <c r="F169" s="1"/>
  <c r="C155"/>
  <c r="C26"/>
  <c r="C40"/>
  <c r="C132"/>
  <c r="C104"/>
  <c r="C91"/>
  <c r="C73"/>
  <c r="C80"/>
  <c r="C167" l="1"/>
  <c r="C161"/>
  <c r="C146"/>
  <c r="C139"/>
  <c r="C118"/>
  <c r="C111"/>
  <c r="C98"/>
  <c r="C99" s="1"/>
  <c r="C85"/>
  <c r="C86" s="1"/>
  <c r="C65"/>
  <c r="C60"/>
  <c r="C48"/>
  <c r="C34"/>
  <c r="C9"/>
  <c r="C19" s="1"/>
  <c r="C49" l="1"/>
  <c r="C74"/>
  <c r="C112"/>
  <c r="C127"/>
  <c r="C140"/>
  <c r="C156"/>
  <c r="C168"/>
  <c r="E167"/>
  <c r="D167"/>
  <c r="E161"/>
  <c r="D161"/>
  <c r="E155"/>
  <c r="D155"/>
  <c r="E146"/>
  <c r="D146"/>
  <c r="E139"/>
  <c r="E132"/>
  <c r="D132"/>
  <c r="E126"/>
  <c r="D126"/>
  <c r="E118"/>
  <c r="D118"/>
  <c r="E111"/>
  <c r="D111"/>
  <c r="E104"/>
  <c r="D104"/>
  <c r="E98"/>
  <c r="D98"/>
  <c r="E168" l="1"/>
  <c r="D168"/>
  <c r="E156"/>
  <c r="D156"/>
  <c r="E127"/>
  <c r="D127"/>
  <c r="E140"/>
  <c r="E112"/>
  <c r="E91"/>
  <c r="E99" s="1"/>
  <c r="D91"/>
  <c r="D99" s="1"/>
  <c r="D112"/>
  <c r="D139"/>
  <c r="D140" s="1"/>
  <c r="E85"/>
  <c r="D85"/>
  <c r="E80"/>
  <c r="E73"/>
  <c r="D73"/>
  <c r="D74" s="1"/>
  <c r="E65"/>
  <c r="E74" s="1"/>
  <c r="E60"/>
  <c r="D60"/>
  <c r="E54"/>
  <c r="D54"/>
  <c r="E48"/>
  <c r="D48"/>
  <c r="E33"/>
  <c r="D33"/>
  <c r="D26"/>
  <c r="E18"/>
  <c r="E9"/>
  <c r="D9"/>
  <c r="E61" l="1"/>
  <c r="D61"/>
  <c r="E19"/>
  <c r="D19"/>
  <c r="D40"/>
  <c r="D49" s="1"/>
  <c r="E26"/>
  <c r="E34" s="1"/>
  <c r="E40"/>
  <c r="E49" s="1"/>
  <c r="D80"/>
  <c r="D86" s="1"/>
  <c r="D34"/>
  <c r="E86"/>
  <c r="C51"/>
  <c r="C54" s="1"/>
  <c r="D169" l="1"/>
  <c r="E169"/>
  <c r="C61"/>
  <c r="C169" s="1"/>
</calcChain>
</file>

<file path=xl/sharedStrings.xml><?xml version="1.0" encoding="utf-8"?>
<sst xmlns="http://schemas.openxmlformats.org/spreadsheetml/2006/main" count="161" uniqueCount="139">
  <si>
    <t>№ п.п.</t>
  </si>
  <si>
    <t>Примечание</t>
  </si>
  <si>
    <t>январь</t>
  </si>
  <si>
    <t>Объёмы работ</t>
  </si>
  <si>
    <t>шт.</t>
  </si>
  <si>
    <t>март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</si>
  <si>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</si>
  <si>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</si>
  <si>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</si>
  <si>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</si>
  <si>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</si>
  <si>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</si>
  <si>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</si>
  <si>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</si>
  <si>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ИТОГО : </t>
  </si>
  <si>
    <t>ноябрь</t>
  </si>
  <si>
    <t>декабрь</t>
  </si>
  <si>
    <t>косметического  ремонта  лестничных клеток на 2014год</t>
  </si>
  <si>
    <t>хоз/сп</t>
  </si>
  <si>
    <t xml:space="preserve">       Адрес, № л.кл.</t>
  </si>
  <si>
    <t>подр/сп</t>
  </si>
  <si>
    <t xml:space="preserve">Выполнение адресной программы </t>
  </si>
  <si>
    <t>Гаванская ул. д.47Г - №1, где кв.129, №2, где кв.153</t>
  </si>
  <si>
    <t>12-я линия д.19, №3</t>
  </si>
  <si>
    <t>Беринга ул. д.22к.1 - № 1,2,5</t>
  </si>
  <si>
    <t>Весельная ул. д.7/10 - № 1</t>
  </si>
  <si>
    <t>Весельная ул. д.5 - № 2</t>
  </si>
  <si>
    <t>Среднегаванский пр. д.7/8 - № 5</t>
  </si>
  <si>
    <t>Шевченко ул. д.2 - № 2</t>
  </si>
  <si>
    <t>Остоумова ул. д.8 - № 1</t>
  </si>
  <si>
    <t>Опочинина ул. д.9 - № 1</t>
  </si>
  <si>
    <t>Нахимова ул. д.1 - № 1, 2</t>
  </si>
  <si>
    <t>Морская наб. д.15 № 13</t>
  </si>
  <si>
    <t>Средний пр. д.92 - № 1</t>
  </si>
  <si>
    <t>Средний пр. д.96 - № 4</t>
  </si>
  <si>
    <t>Карташихина ул. д.2/13 - № 2</t>
  </si>
  <si>
    <t>Беринга ул. д.28 к.1 - № 1</t>
  </si>
  <si>
    <t>Нахимова ул. д.8 к.3 - № 1</t>
  </si>
  <si>
    <t>Шевченко ул. д.11 - №  3</t>
  </si>
  <si>
    <t>Шевченко ул. д.16 - № 1</t>
  </si>
  <si>
    <t>Шевченко ул. д.18 - № 1, 2</t>
  </si>
  <si>
    <t>Гаванская ул. д.48 - № 1</t>
  </si>
  <si>
    <r>
      <t xml:space="preserve">Наличная ул. д.31 - № </t>
    </r>
    <r>
      <rPr>
        <sz val="11"/>
        <color theme="1"/>
        <rFont val="Times New Roman"/>
        <family val="1"/>
        <charset val="204"/>
      </rPr>
      <t>1,5</t>
    </r>
  </si>
  <si>
    <t>Беринга ул. д.20 - № 1,2</t>
  </si>
  <si>
    <t>Гаванская ул. д.46 - № 3</t>
  </si>
  <si>
    <t>Гаванская ул. д.46 - № 1</t>
  </si>
  <si>
    <t>Наличная ул. д.33 - № 1,4</t>
  </si>
  <si>
    <t>Наличная ул. д.35 к.1 - № 5</t>
  </si>
  <si>
    <t>Большой пр. д.99 - № 2</t>
  </si>
  <si>
    <t>Большой пр. д.101 - № 1</t>
  </si>
  <si>
    <t>Опочинина ул. д.5 - № 3</t>
  </si>
  <si>
    <t>Опочинина ул. д.7 - № 1,2</t>
  </si>
  <si>
    <t>Опочинина ул. д.15/18 - № 4</t>
  </si>
  <si>
    <t>Карташихина ул. д.22 - № 3</t>
  </si>
  <si>
    <t>Кораблестроителей ул. д.19 к.1 - № 3,20,21</t>
  </si>
  <si>
    <t>Среднегаванский пр. д.2/20 - № 2,3</t>
  </si>
  <si>
    <t>Беринга ул. д.24 к.2 - № 4,5</t>
  </si>
  <si>
    <t>Наличная ул. д.35 к.2 - № 5</t>
  </si>
  <si>
    <t>Наличная ул. д.22 - № 4,6</t>
  </si>
  <si>
    <t>Детская ул. д.11 - № 3</t>
  </si>
  <si>
    <t>Детская  ул. д.17 - № 3</t>
  </si>
  <si>
    <t>Детская  ул. д.34/90 - № 2</t>
  </si>
  <si>
    <t>Кораблестроителей ул. д.22 - № 2,3,9,10</t>
  </si>
  <si>
    <t>Наличная ул. д.35 к.3 - № 4,5</t>
  </si>
  <si>
    <t>Нахимова ул. д.14/41 - № 3,8,9</t>
  </si>
  <si>
    <t>Гаванская ул. д.24 - № 4</t>
  </si>
  <si>
    <t>Наличная ул. д.15 к.2 - № 1</t>
  </si>
  <si>
    <t>Опочинина ул. д.27 - № 1</t>
  </si>
  <si>
    <t>Карташихина ул. д.17 - № 2</t>
  </si>
  <si>
    <t>Карташихина ул. д.21 - № 5</t>
  </si>
  <si>
    <t>23 -я линия д.28 - № 2</t>
  </si>
  <si>
    <t>Шевченко ул. д.24 к.2 - № 2,4</t>
  </si>
  <si>
    <t>Остоумова ул. д.7/9А - № 1</t>
  </si>
  <si>
    <t>13-я линия д.2/19 - № 4</t>
  </si>
  <si>
    <t>Шевченко ул. д.33 - № 1,2</t>
  </si>
  <si>
    <t>Гавнская ул. д.34 - № 2,6,7</t>
  </si>
  <si>
    <t>Косая линия д.24/25 - № 1,7</t>
  </si>
  <si>
    <t>Опочинина ул. д.21 - № 2,3</t>
  </si>
  <si>
    <t>Беринга ул. д.24 к.3 - № 4,5</t>
  </si>
  <si>
    <t>Весельная ул. д.12 - № 1</t>
  </si>
  <si>
    <t>Гаванская ул. д.19/100 - № 1,2</t>
  </si>
  <si>
    <t>Карташихина ул. д.10 - № 2</t>
  </si>
  <si>
    <t>Карташишина ул. д.12 - № 1</t>
  </si>
  <si>
    <t>Шкиперский проток д.2 - № 5,7</t>
  </si>
  <si>
    <t>Нахимова ул. д.1 -№ 3,4</t>
  </si>
  <si>
    <t xml:space="preserve">Средний пр. д.98 - № 1,4 </t>
  </si>
  <si>
    <t>Беринга ул. д.24 к.1 - № 1</t>
  </si>
  <si>
    <t>Шевченко ул. д.29 - № 2,3</t>
  </si>
  <si>
    <t>Карташихина ул. д.6 - № 1</t>
  </si>
  <si>
    <t>Карташихина ул. д.7 - № 1</t>
  </si>
  <si>
    <t>Шевченко ул. д.17 - № 3,4</t>
  </si>
  <si>
    <t>Кораблестроителей ул. д.19 к.1 - № 23,24,27</t>
  </si>
  <si>
    <t>Нахимова ул. д.2/30 - № 4,5</t>
  </si>
  <si>
    <t>Нахимова ул. д.12 - № 1</t>
  </si>
  <si>
    <t>Беринга ул. д.28 к.2 - № 3</t>
  </si>
  <si>
    <t>Беринга ул. д.8 - № 2</t>
  </si>
  <si>
    <t>Большой пр. д.82 - № 2</t>
  </si>
  <si>
    <t>Большой пр. д.89 - № 4,5</t>
  </si>
  <si>
    <t>Большой пр. д.90 - № 1</t>
  </si>
  <si>
    <t>Гаванская ул. д.7 - № 1</t>
  </si>
  <si>
    <t>Гаванская ул. д.9 - № 2</t>
  </si>
  <si>
    <t>19 линия д.6 - № 1</t>
  </si>
  <si>
    <t>Кораблестроителей ул. д.16 - № 2,3,6</t>
  </si>
  <si>
    <t>Канареечная ул. д.10 - № 4,5</t>
  </si>
  <si>
    <t>Среднегаванский пр. д.9 - № 1,4</t>
  </si>
  <si>
    <t>Наличная ул. д.29 - № 3</t>
  </si>
  <si>
    <t>Наличная ул. д.21 - № 10,11</t>
  </si>
  <si>
    <t>Наличная ул. д.19 - № 3</t>
  </si>
  <si>
    <t>Наличная ул. д.23 - № 2</t>
  </si>
  <si>
    <t>Наличная ул. д.14 - № 4,6</t>
  </si>
  <si>
    <t>Мичманская ул. д.2 -  № 4,5, с лифтами</t>
  </si>
  <si>
    <t>Морская наб. д.15 - № 7,21</t>
  </si>
  <si>
    <t>Беринга ул. д.16 - №  1,4</t>
  </si>
  <si>
    <t>Малый пр. д.65 к.1 - № 2</t>
  </si>
  <si>
    <t>Малый пр. д.67 к.2 - № 1</t>
  </si>
  <si>
    <t>Шевченко ул. д.38 - № 3</t>
  </si>
  <si>
    <t>Весельная ул. д.10 - № 1,2</t>
  </si>
  <si>
    <t>Среднегаванский пр. д.1 -№ 4</t>
  </si>
  <si>
    <t>Среднегаванский пр. д.3 - № 4</t>
  </si>
  <si>
    <t>Большой пр. д.52/15 - № 6</t>
  </si>
  <si>
    <t>Гаванская ул. д.4 - № 1</t>
  </si>
  <si>
    <t>Опочинина ул. д.13 - № 2</t>
  </si>
  <si>
    <t>Кораблестроителей ул. д.19 к.2 - № 1</t>
  </si>
  <si>
    <t>Средний пр. д.70 - № 1</t>
  </si>
  <si>
    <t>Гаванская ул. д.51 - № 2</t>
  </si>
  <si>
    <t>Наличная ул. д.37 к.2 - № 1,2</t>
  </si>
  <si>
    <t>Малый пр. д.75 - № 1,2</t>
  </si>
  <si>
    <t>Гаванская ул. д.42 - № 2,4</t>
  </si>
  <si>
    <t>Гаванская ул. д.44 - №1,3</t>
  </si>
  <si>
    <t>Кима пр. д.13 - №4</t>
  </si>
  <si>
    <t>Весельная ул. д.4 - №7</t>
  </si>
  <si>
    <t>кв.м.</t>
  </si>
  <si>
    <t>Стоимость работ по плану, руб.</t>
  </si>
  <si>
    <t>Стоимость работ по выполнению, руб.</t>
  </si>
  <si>
    <r>
      <t>Морская наб. д.15 - № 3,4</t>
    </r>
    <r>
      <rPr>
        <sz val="11"/>
        <color theme="1"/>
        <rFont val="Times New Roman"/>
        <family val="1"/>
        <charset val="204"/>
      </rPr>
      <t>,28 без лифтов</t>
    </r>
  </si>
  <si>
    <r>
      <t>Морская наб. д.15 - № 17,</t>
    </r>
    <r>
      <rPr>
        <sz val="11"/>
        <rFont val="Times New Roman"/>
        <family val="1"/>
        <charset val="204"/>
      </rPr>
      <t>28 с лифтами</t>
    </r>
  </si>
  <si>
    <t>Морская наб. д.9 -№ 13,19 с лифтами</t>
  </si>
  <si>
    <t xml:space="preserve">Морская наб. д.9 - № 19 без лифтов </t>
  </si>
  <si>
    <t>Мичманская ул., д. 2 -  № 4,5 без лифтов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</si>
</sst>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6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10">
    <xf numFmtId="0" fontId="0" fillId="0" borderId="0" xfId="0"/>
    <xf numFmtId="0" fontId="10" fillId="0" borderId="7" xfId="0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2" fontId="13" fillId="0" borderId="9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4" fontId="7" fillId="0" borderId="9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2" fontId="13" fillId="0" borderId="1" xfId="1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2" fontId="7" fillId="0" borderId="5" xfId="1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2"/>
  <sheetViews>
    <sheetView tabSelected="1" zoomScaleNormal="100" workbookViewId="0">
      <selection activeCell="J17" sqref="J17"/>
    </sheetView>
  </sheetViews>
  <sheetFormatPr defaultRowHeight="15"/>
  <cols>
    <col min="1" max="1" width="4.7109375" style="72" customWidth="1"/>
    <col min="2" max="2" width="48.7109375" style="74" customWidth="1"/>
    <col min="3" max="3" width="8.7109375" style="74" customWidth="1"/>
    <col min="4" max="4" width="11" style="74" customWidth="1"/>
    <col min="5" max="5" width="17" style="74" customWidth="1"/>
    <col min="6" max="6" width="18.28515625" style="74" customWidth="1"/>
    <col min="7" max="7" width="11.42578125" style="74" customWidth="1"/>
    <col min="8" max="16384" width="9.140625" style="74"/>
  </cols>
  <sheetData>
    <row r="2" spans="1:7" ht="15.75">
      <c r="B2" s="73" t="s">
        <v>21</v>
      </c>
      <c r="C2" s="73"/>
      <c r="D2" s="73"/>
      <c r="E2" s="73"/>
      <c r="F2" s="73"/>
      <c r="G2" s="73"/>
    </row>
    <row r="3" spans="1:7" ht="15.75">
      <c r="A3" s="75" t="s">
        <v>17</v>
      </c>
      <c r="B3" s="75"/>
      <c r="C3" s="75"/>
      <c r="D3" s="75"/>
      <c r="E3" s="75"/>
      <c r="F3" s="75"/>
      <c r="G3" s="75"/>
    </row>
    <row r="4" spans="1:7">
      <c r="A4" s="76"/>
      <c r="B4" s="76"/>
      <c r="C4" s="76"/>
      <c r="D4" s="76"/>
      <c r="E4" s="76"/>
      <c r="F4" s="76"/>
      <c r="G4" s="76"/>
    </row>
    <row r="5" spans="1:7" ht="18" customHeight="1">
      <c r="A5" s="50" t="s">
        <v>0</v>
      </c>
      <c r="B5" s="53" t="s">
        <v>19</v>
      </c>
      <c r="C5" s="54" t="s">
        <v>3</v>
      </c>
      <c r="D5" s="55"/>
      <c r="E5" s="50" t="s">
        <v>132</v>
      </c>
      <c r="F5" s="50" t="s">
        <v>133</v>
      </c>
      <c r="G5" s="50" t="s">
        <v>1</v>
      </c>
    </row>
    <row r="6" spans="1:7" ht="31.5" customHeight="1">
      <c r="A6" s="56"/>
      <c r="B6" s="57"/>
      <c r="C6" s="58" t="s">
        <v>4</v>
      </c>
      <c r="D6" s="58" t="s">
        <v>131</v>
      </c>
      <c r="E6" s="51"/>
      <c r="F6" s="51"/>
      <c r="G6" s="51"/>
    </row>
    <row r="7" spans="1:7" ht="19.5" customHeight="1">
      <c r="A7" s="77"/>
      <c r="B7" s="15"/>
      <c r="C7" s="24" t="s">
        <v>2</v>
      </c>
      <c r="D7" s="78"/>
      <c r="E7" s="25"/>
      <c r="F7" s="26"/>
      <c r="G7" s="27"/>
    </row>
    <row r="8" spans="1:7" ht="18" customHeight="1">
      <c r="A8" s="62">
        <v>1</v>
      </c>
      <c r="B8" s="63" t="s">
        <v>24</v>
      </c>
      <c r="C8" s="1">
        <v>3</v>
      </c>
      <c r="D8" s="2">
        <v>830</v>
      </c>
      <c r="E8" s="52">
        <v>239490</v>
      </c>
      <c r="F8" s="59">
        <f>244.49*1000</f>
        <v>244490</v>
      </c>
      <c r="G8" s="64"/>
    </row>
    <row r="9" spans="1:7" ht="18" customHeight="1">
      <c r="A9" s="62"/>
      <c r="B9" s="63"/>
      <c r="C9" s="3">
        <f>C8</f>
        <v>3</v>
      </c>
      <c r="D9" s="4">
        <f>D8</f>
        <v>830</v>
      </c>
      <c r="E9" s="28">
        <f>E8</f>
        <v>239490</v>
      </c>
      <c r="F9" s="29">
        <f>F8</f>
        <v>244490</v>
      </c>
      <c r="G9" s="64" t="s">
        <v>18</v>
      </c>
    </row>
    <row r="10" spans="1:7" ht="18" customHeight="1">
      <c r="A10" s="62">
        <v>2</v>
      </c>
      <c r="B10" s="65" t="s">
        <v>26</v>
      </c>
      <c r="C10" s="1">
        <v>1</v>
      </c>
      <c r="D10" s="2">
        <f>0.351*1000</f>
        <v>351</v>
      </c>
      <c r="E10" s="52">
        <f>126.161*1000</f>
        <v>126161</v>
      </c>
      <c r="F10" s="59">
        <f>126.16*1000</f>
        <v>126160</v>
      </c>
      <c r="G10" s="65"/>
    </row>
    <row r="11" spans="1:7" ht="18" customHeight="1">
      <c r="A11" s="62">
        <v>3</v>
      </c>
      <c r="B11" s="66" t="s">
        <v>25</v>
      </c>
      <c r="C11" s="1">
        <v>1</v>
      </c>
      <c r="D11" s="2">
        <f>0.4*1000</f>
        <v>400</v>
      </c>
      <c r="E11" s="52">
        <f>200.247*1000</f>
        <v>200247</v>
      </c>
      <c r="F11" s="59">
        <f>200.25*1000</f>
        <v>200250</v>
      </c>
      <c r="G11" s="65"/>
    </row>
    <row r="12" spans="1:7" ht="18" customHeight="1">
      <c r="A12" s="62">
        <v>4</v>
      </c>
      <c r="B12" s="67" t="s">
        <v>27</v>
      </c>
      <c r="C12" s="5">
        <v>1</v>
      </c>
      <c r="D12" s="6">
        <f>0.468*1000</f>
        <v>468</v>
      </c>
      <c r="E12" s="52">
        <f>250.088*1000</f>
        <v>250088</v>
      </c>
      <c r="F12" s="30">
        <f>250.09*1000</f>
        <v>250090</v>
      </c>
      <c r="G12" s="67"/>
    </row>
    <row r="13" spans="1:7" ht="18" customHeight="1">
      <c r="A13" s="62">
        <v>5</v>
      </c>
      <c r="B13" s="67" t="s">
        <v>28</v>
      </c>
      <c r="C13" s="5">
        <v>1</v>
      </c>
      <c r="D13" s="2">
        <f>0.347*1000</f>
        <v>347</v>
      </c>
      <c r="E13" s="52">
        <f>159.434*1000</f>
        <v>159434</v>
      </c>
      <c r="F13" s="30">
        <f>159.43*1000</f>
        <v>159430</v>
      </c>
      <c r="G13" s="67"/>
    </row>
    <row r="14" spans="1:7" ht="18" customHeight="1">
      <c r="A14" s="62">
        <v>6</v>
      </c>
      <c r="B14" s="68" t="s">
        <v>29</v>
      </c>
      <c r="C14" s="7">
        <v>1</v>
      </c>
      <c r="D14" s="6">
        <f>0.293*1000</f>
        <v>293</v>
      </c>
      <c r="E14" s="52">
        <f>97.552*1000</f>
        <v>97552</v>
      </c>
      <c r="F14" s="30">
        <f>97.55*1000</f>
        <v>97550</v>
      </c>
      <c r="G14" s="14"/>
    </row>
    <row r="15" spans="1:7" ht="18" customHeight="1">
      <c r="A15" s="62">
        <v>7</v>
      </c>
      <c r="B15" s="68" t="s">
        <v>30</v>
      </c>
      <c r="C15" s="7">
        <v>1</v>
      </c>
      <c r="D15" s="2">
        <f>0.54*1000</f>
        <v>540</v>
      </c>
      <c r="E15" s="52">
        <f>240.212*1000</f>
        <v>240212</v>
      </c>
      <c r="F15" s="30">
        <f>240.21*1000</f>
        <v>240210</v>
      </c>
      <c r="G15" s="14"/>
    </row>
    <row r="16" spans="1:7" ht="18" customHeight="1">
      <c r="A16" s="62">
        <v>8</v>
      </c>
      <c r="B16" s="68" t="s">
        <v>31</v>
      </c>
      <c r="C16" s="7">
        <v>2</v>
      </c>
      <c r="D16" s="21">
        <v>1840</v>
      </c>
      <c r="E16" s="32">
        <f>533.72*1000</f>
        <v>533720</v>
      </c>
      <c r="F16" s="30">
        <f>362.38*1000</f>
        <v>362380</v>
      </c>
      <c r="G16" s="14"/>
    </row>
    <row r="17" spans="1:7" ht="18" customHeight="1">
      <c r="A17" s="62">
        <v>9</v>
      </c>
      <c r="B17" s="69" t="s">
        <v>32</v>
      </c>
      <c r="C17" s="8">
        <v>1</v>
      </c>
      <c r="D17" s="21">
        <v>1220</v>
      </c>
      <c r="E17" s="32">
        <v>0</v>
      </c>
      <c r="F17" s="60">
        <f>312.15*1000</f>
        <v>312150</v>
      </c>
      <c r="G17" s="70"/>
    </row>
    <row r="18" spans="1:7" ht="18" customHeight="1">
      <c r="A18" s="62"/>
      <c r="B18" s="69"/>
      <c r="C18" s="9">
        <f>SUM(C10:C17)</f>
        <v>9</v>
      </c>
      <c r="D18" s="10">
        <f>SUM(D10:D17)</f>
        <v>5459</v>
      </c>
      <c r="E18" s="33">
        <f>SUM(E10:E16)</f>
        <v>1607414</v>
      </c>
      <c r="F18" s="34">
        <f>SUM(F10:F17)</f>
        <v>1748220</v>
      </c>
      <c r="G18" s="13" t="s">
        <v>20</v>
      </c>
    </row>
    <row r="19" spans="1:7" ht="18" customHeight="1">
      <c r="A19" s="62"/>
      <c r="B19" s="71"/>
      <c r="C19" s="11">
        <f>C9+C18</f>
        <v>12</v>
      </c>
      <c r="D19" s="12">
        <f>D9+D18</f>
        <v>6289</v>
      </c>
      <c r="E19" s="35">
        <f>E9+E18</f>
        <v>1846904</v>
      </c>
      <c r="F19" s="36">
        <f>F9+F18</f>
        <v>1992710</v>
      </c>
      <c r="G19" s="71"/>
    </row>
    <row r="20" spans="1:7" ht="18" customHeight="1">
      <c r="A20" s="7"/>
      <c r="B20" s="79"/>
      <c r="C20" s="23" t="s">
        <v>6</v>
      </c>
      <c r="D20" s="80"/>
      <c r="E20" s="80"/>
      <c r="F20" s="80"/>
      <c r="G20" s="81"/>
    </row>
    <row r="21" spans="1:7" ht="18" customHeight="1">
      <c r="A21" s="62">
        <v>10</v>
      </c>
      <c r="B21" s="65" t="s">
        <v>33</v>
      </c>
      <c r="C21" s="1">
        <v>1</v>
      </c>
      <c r="D21" s="37">
        <f>0.59*1000</f>
        <v>590</v>
      </c>
      <c r="E21" s="37">
        <f>219.35*1000</f>
        <v>219350</v>
      </c>
      <c r="F21" s="59">
        <f>116.2*1000</f>
        <v>116200</v>
      </c>
      <c r="G21" s="64"/>
    </row>
    <row r="22" spans="1:7" ht="18" customHeight="1">
      <c r="A22" s="62">
        <v>11</v>
      </c>
      <c r="B22" s="82" t="s">
        <v>34</v>
      </c>
      <c r="C22" s="7">
        <v>1</v>
      </c>
      <c r="D22" s="37">
        <f>0.355*1000</f>
        <v>355</v>
      </c>
      <c r="E22" s="37">
        <f>123.458*1000</f>
        <v>123458</v>
      </c>
      <c r="F22" s="38">
        <f>122.08*1000</f>
        <v>122080</v>
      </c>
      <c r="G22" s="64"/>
    </row>
    <row r="23" spans="1:7" ht="18" customHeight="1">
      <c r="A23" s="62">
        <v>12</v>
      </c>
      <c r="B23" s="67" t="s">
        <v>35</v>
      </c>
      <c r="C23" s="5">
        <v>1</v>
      </c>
      <c r="D23" s="37">
        <f>0.34*1000</f>
        <v>340</v>
      </c>
      <c r="E23" s="37">
        <f>81.336*1000</f>
        <v>81336</v>
      </c>
      <c r="F23" s="38">
        <f>79.92*1000</f>
        <v>79920</v>
      </c>
      <c r="G23" s="64"/>
    </row>
    <row r="24" spans="1:7" ht="18" customHeight="1">
      <c r="A24" s="62">
        <v>13</v>
      </c>
      <c r="B24" s="67" t="s">
        <v>36</v>
      </c>
      <c r="C24" s="5">
        <v>1</v>
      </c>
      <c r="D24" s="39">
        <f>0.28*1000</f>
        <v>280</v>
      </c>
      <c r="E24" s="39">
        <f>78.31*1000</f>
        <v>78310</v>
      </c>
      <c r="F24" s="38">
        <f>66.41*1000</f>
        <v>66410</v>
      </c>
      <c r="G24" s="64"/>
    </row>
    <row r="25" spans="1:7" ht="18" customHeight="1">
      <c r="A25" s="62">
        <v>14</v>
      </c>
      <c r="B25" s="82" t="s">
        <v>37</v>
      </c>
      <c r="C25" s="7">
        <v>1</v>
      </c>
      <c r="D25" s="37">
        <f>0.226*1000</f>
        <v>226</v>
      </c>
      <c r="E25" s="37">
        <f>94.015*1000</f>
        <v>94015</v>
      </c>
      <c r="F25" s="38">
        <f>102.63*1000</f>
        <v>102630</v>
      </c>
      <c r="G25" s="64"/>
    </row>
    <row r="26" spans="1:7" ht="18" customHeight="1">
      <c r="A26" s="62"/>
      <c r="B26" s="67"/>
      <c r="C26" s="15">
        <f>C21+C22+C23+C24+C25</f>
        <v>5</v>
      </c>
      <c r="D26" s="16">
        <f>SUM(D21:D25)</f>
        <v>1791</v>
      </c>
      <c r="E26" s="40">
        <f>SUM(E21:E25)</f>
        <v>596469</v>
      </c>
      <c r="F26" s="41">
        <f>SUM(F21:F25)</f>
        <v>487240</v>
      </c>
      <c r="G26" s="64" t="s">
        <v>18</v>
      </c>
    </row>
    <row r="27" spans="1:7" ht="18" customHeight="1">
      <c r="A27" s="62">
        <v>15</v>
      </c>
      <c r="B27" s="67" t="s">
        <v>38</v>
      </c>
      <c r="C27" s="5">
        <v>1</v>
      </c>
      <c r="D27" s="37">
        <f>0.29*1000</f>
        <v>290</v>
      </c>
      <c r="E27" s="37">
        <f>121.767*1000</f>
        <v>121767</v>
      </c>
      <c r="F27" s="30">
        <f>95.24*1000</f>
        <v>95240</v>
      </c>
      <c r="G27" s="67"/>
    </row>
    <row r="28" spans="1:7" ht="18" customHeight="1">
      <c r="A28" s="62">
        <v>16</v>
      </c>
      <c r="B28" s="67" t="s">
        <v>39</v>
      </c>
      <c r="C28" s="5">
        <v>1</v>
      </c>
      <c r="D28" s="42">
        <f>0.509*1000</f>
        <v>509</v>
      </c>
      <c r="E28" s="37">
        <f>212.371*1000</f>
        <v>212371</v>
      </c>
      <c r="F28" s="30">
        <f>167.85*1000</f>
        <v>167850</v>
      </c>
      <c r="G28" s="67"/>
    </row>
    <row r="29" spans="1:7" ht="18" customHeight="1">
      <c r="A29" s="62">
        <v>17</v>
      </c>
      <c r="B29" s="67" t="s">
        <v>40</v>
      </c>
      <c r="C29" s="5">
        <v>2</v>
      </c>
      <c r="D29" s="42">
        <f>(0.407+0.407)*1000</f>
        <v>814</v>
      </c>
      <c r="E29" s="37">
        <f>(93.122+121.737)*1000</f>
        <v>214858.99999999997</v>
      </c>
      <c r="F29" s="30">
        <f>(73.51+96.12)*1000</f>
        <v>169630</v>
      </c>
      <c r="G29" s="67"/>
    </row>
    <row r="30" spans="1:7" ht="18" customHeight="1">
      <c r="A30" s="62">
        <v>18</v>
      </c>
      <c r="B30" s="67" t="s">
        <v>41</v>
      </c>
      <c r="C30" s="7">
        <v>1</v>
      </c>
      <c r="D30" s="37">
        <f>0.682*1000</f>
        <v>682</v>
      </c>
      <c r="E30" s="37">
        <f>309.533*1000</f>
        <v>309533</v>
      </c>
      <c r="F30" s="30">
        <f>304.07*1000</f>
        <v>304070</v>
      </c>
      <c r="G30" s="67"/>
    </row>
    <row r="31" spans="1:7" ht="18" customHeight="1">
      <c r="A31" s="62">
        <v>19</v>
      </c>
      <c r="B31" s="67" t="s">
        <v>42</v>
      </c>
      <c r="C31" s="5">
        <v>2</v>
      </c>
      <c r="D31" s="37">
        <f>(0.445+0.445)*1000</f>
        <v>890</v>
      </c>
      <c r="E31" s="37">
        <f>(211.46+142.2)*1000</f>
        <v>353659.99999999994</v>
      </c>
      <c r="F31" s="30">
        <f>(250.63+152.64)*1000</f>
        <v>403270</v>
      </c>
      <c r="G31" s="67"/>
    </row>
    <row r="32" spans="1:7" ht="18" customHeight="1">
      <c r="A32" s="62">
        <v>20</v>
      </c>
      <c r="B32" s="67" t="s">
        <v>43</v>
      </c>
      <c r="C32" s="5">
        <v>2</v>
      </c>
      <c r="D32" s="37">
        <f>(0.697+0.562)*1000</f>
        <v>1259</v>
      </c>
      <c r="E32" s="37">
        <f>(120.186+138.716)*1000</f>
        <v>258902.00000000006</v>
      </c>
      <c r="F32" s="30">
        <f>(155.06+188.16)*1000</f>
        <v>343220</v>
      </c>
      <c r="G32" s="67"/>
    </row>
    <row r="33" spans="1:7" ht="18" customHeight="1">
      <c r="A33" s="83"/>
      <c r="B33" s="71"/>
      <c r="C33" s="17">
        <f>SUM(C27:C32)</f>
        <v>9</v>
      </c>
      <c r="D33" s="18">
        <f>SUM(D27:D32)</f>
        <v>4444</v>
      </c>
      <c r="E33" s="43">
        <f>SUM(E27:E32)</f>
        <v>1471092</v>
      </c>
      <c r="F33" s="34">
        <f>SUM(F27:F32)</f>
        <v>1483280</v>
      </c>
      <c r="G33" s="13" t="s">
        <v>20</v>
      </c>
    </row>
    <row r="34" spans="1:7" ht="18" customHeight="1">
      <c r="A34" s="83"/>
      <c r="B34" s="71"/>
      <c r="C34" s="13">
        <f>C26+C33</f>
        <v>14</v>
      </c>
      <c r="D34" s="16">
        <f>D26+D33</f>
        <v>6235</v>
      </c>
      <c r="E34" s="40">
        <f>E26+E33</f>
        <v>2067561</v>
      </c>
      <c r="F34" s="36">
        <f>F26+F33</f>
        <v>1970520</v>
      </c>
      <c r="G34" s="71"/>
    </row>
    <row r="35" spans="1:7" ht="18" customHeight="1">
      <c r="A35" s="7"/>
      <c r="B35" s="84"/>
      <c r="C35" s="19" t="s">
        <v>5</v>
      </c>
      <c r="D35" s="85"/>
      <c r="E35" s="85"/>
      <c r="F35" s="85"/>
      <c r="G35" s="86"/>
    </row>
    <row r="36" spans="1:7" ht="18" customHeight="1">
      <c r="A36" s="62">
        <v>21</v>
      </c>
      <c r="B36" s="67" t="s">
        <v>45</v>
      </c>
      <c r="C36" s="5">
        <v>1</v>
      </c>
      <c r="D36" s="2">
        <f>0.268*1000</f>
        <v>268</v>
      </c>
      <c r="E36" s="37">
        <f>90.664*1000</f>
        <v>90664</v>
      </c>
      <c r="F36" s="59">
        <f>108.077*1000</f>
        <v>108077</v>
      </c>
      <c r="G36" s="64"/>
    </row>
    <row r="37" spans="1:7" ht="18" customHeight="1">
      <c r="A37" s="87">
        <v>22</v>
      </c>
      <c r="B37" s="67" t="s">
        <v>44</v>
      </c>
      <c r="C37" s="1">
        <v>1</v>
      </c>
      <c r="D37" s="2">
        <f>0.268*1000</f>
        <v>268</v>
      </c>
      <c r="E37" s="37">
        <f>95.441*1000</f>
        <v>95441</v>
      </c>
      <c r="F37" s="59">
        <f>97.966*1000</f>
        <v>97966</v>
      </c>
      <c r="G37" s="64"/>
    </row>
    <row r="38" spans="1:7" ht="18" customHeight="1">
      <c r="A38" s="87">
        <v>23</v>
      </c>
      <c r="B38" s="65" t="s">
        <v>46</v>
      </c>
      <c r="C38" s="1">
        <v>2</v>
      </c>
      <c r="D38" s="6">
        <f>(0.293+0.293)*1000</f>
        <v>586</v>
      </c>
      <c r="E38" s="37">
        <f>(95.841+106.156)*1000</f>
        <v>201997</v>
      </c>
      <c r="F38" s="59">
        <f>(116.78+129.42)*1000</f>
        <v>246200</v>
      </c>
      <c r="G38" s="64"/>
    </row>
    <row r="39" spans="1:7" ht="18" customHeight="1">
      <c r="A39" s="7">
        <v>24</v>
      </c>
      <c r="B39" s="67" t="s">
        <v>47</v>
      </c>
      <c r="C39" s="5">
        <v>1</v>
      </c>
      <c r="D39" s="2">
        <f>0.262*1000</f>
        <v>262</v>
      </c>
      <c r="E39" s="37">
        <f>103.622*1000</f>
        <v>103622</v>
      </c>
      <c r="F39" s="30">
        <f>111.95*1000</f>
        <v>111950</v>
      </c>
      <c r="G39" s="64"/>
    </row>
    <row r="40" spans="1:7" ht="18" customHeight="1">
      <c r="A40" s="7"/>
      <c r="B40" s="82"/>
      <c r="C40" s="20">
        <f>SUM(C36:C39)</f>
        <v>5</v>
      </c>
      <c r="D40" s="4">
        <f>SUM(D36:D39)</f>
        <v>1384</v>
      </c>
      <c r="E40" s="44">
        <f>SUM(E36:E39)</f>
        <v>491724</v>
      </c>
      <c r="F40" s="41">
        <f>SUM(F36:F39)</f>
        <v>564193</v>
      </c>
      <c r="G40" s="64" t="s">
        <v>18</v>
      </c>
    </row>
    <row r="41" spans="1:7" ht="18" customHeight="1">
      <c r="A41" s="7">
        <v>25</v>
      </c>
      <c r="B41" s="67" t="s">
        <v>48</v>
      </c>
      <c r="C41" s="5">
        <v>1</v>
      </c>
      <c r="D41" s="2">
        <f>0.418*1000</f>
        <v>418</v>
      </c>
      <c r="E41" s="37">
        <f>214.045*1000</f>
        <v>214045</v>
      </c>
      <c r="F41" s="30">
        <f>202.286*1000</f>
        <v>202286</v>
      </c>
      <c r="G41" s="67"/>
    </row>
    <row r="42" spans="1:7" ht="18" customHeight="1">
      <c r="A42" s="7">
        <v>26</v>
      </c>
      <c r="B42" s="82" t="s">
        <v>49</v>
      </c>
      <c r="C42" s="7">
        <v>1</v>
      </c>
      <c r="D42" s="2">
        <f>0.62*1000</f>
        <v>620</v>
      </c>
      <c r="E42" s="37">
        <f>334.678*1000</f>
        <v>334678</v>
      </c>
      <c r="F42" s="38">
        <f>317.127*1000</f>
        <v>317127</v>
      </c>
      <c r="G42" s="67"/>
    </row>
    <row r="43" spans="1:7" ht="18" customHeight="1">
      <c r="A43" s="7">
        <v>27</v>
      </c>
      <c r="B43" s="67" t="s">
        <v>50</v>
      </c>
      <c r="C43" s="5">
        <v>1</v>
      </c>
      <c r="D43" s="2">
        <f>0.534*1000</f>
        <v>534</v>
      </c>
      <c r="E43" s="37">
        <f>235.608*1000</f>
        <v>235608</v>
      </c>
      <c r="F43" s="39">
        <f>222.827*1000</f>
        <v>222827</v>
      </c>
      <c r="G43" s="88"/>
    </row>
    <row r="44" spans="1:7" ht="15" customHeight="1">
      <c r="A44" s="7">
        <v>28</v>
      </c>
      <c r="B44" s="82" t="s">
        <v>51</v>
      </c>
      <c r="C44" s="7">
        <v>2</v>
      </c>
      <c r="D44" s="2">
        <f>(0.444+0.406)*1000</f>
        <v>850.00000000000011</v>
      </c>
      <c r="E44" s="37">
        <f>(210.078+224.885)*1000</f>
        <v>434962.99999999994</v>
      </c>
      <c r="F44" s="59">
        <f>(198.58+191.57)*1000</f>
        <v>390150</v>
      </c>
      <c r="G44" s="67"/>
    </row>
    <row r="45" spans="1:7" ht="18" customHeight="1">
      <c r="A45" s="7">
        <v>29</v>
      </c>
      <c r="B45" s="67" t="s">
        <v>52</v>
      </c>
      <c r="C45" s="5">
        <v>1</v>
      </c>
      <c r="D45" s="2">
        <f>0.535*1000</f>
        <v>535</v>
      </c>
      <c r="E45" s="37">
        <f>204.467*1000</f>
        <v>204467</v>
      </c>
      <c r="F45" s="30">
        <f>198.452*1000</f>
        <v>198452</v>
      </c>
      <c r="G45" s="67"/>
    </row>
    <row r="46" spans="1:7" ht="18" customHeight="1">
      <c r="A46" s="7">
        <v>30</v>
      </c>
      <c r="B46" s="82" t="s">
        <v>53</v>
      </c>
      <c r="C46" s="7">
        <v>1</v>
      </c>
      <c r="D46" s="2">
        <f>0.382*1000</f>
        <v>382</v>
      </c>
      <c r="E46" s="37">
        <f>154.68*1000</f>
        <v>154680</v>
      </c>
      <c r="F46" s="30">
        <f>149.038*1000</f>
        <v>149038</v>
      </c>
      <c r="G46" s="67"/>
    </row>
    <row r="47" spans="1:7" ht="18" customHeight="1">
      <c r="A47" s="62">
        <v>31</v>
      </c>
      <c r="B47" s="89" t="s">
        <v>54</v>
      </c>
      <c r="C47" s="5">
        <v>3</v>
      </c>
      <c r="D47" s="21">
        <f>2.82*1000</f>
        <v>2820</v>
      </c>
      <c r="E47" s="39">
        <f>724.09*1000</f>
        <v>724090</v>
      </c>
      <c r="F47" s="30">
        <f>(250.69+246.6+194.34)*1000</f>
        <v>691630</v>
      </c>
      <c r="G47" s="67"/>
    </row>
    <row r="48" spans="1:7" ht="18" customHeight="1">
      <c r="A48" s="7"/>
      <c r="B48" s="89"/>
      <c r="C48" s="15">
        <f>SUM(C41:C47)</f>
        <v>10</v>
      </c>
      <c r="D48" s="16">
        <f>SUM(D41:D47)</f>
        <v>6159</v>
      </c>
      <c r="E48" s="40">
        <f>SUM(E41:E47)</f>
        <v>2302531</v>
      </c>
      <c r="F48" s="45">
        <f>SUM(F41:F47)</f>
        <v>2171510</v>
      </c>
      <c r="G48" s="13" t="s">
        <v>20</v>
      </c>
    </row>
    <row r="49" spans="1:7" ht="18" customHeight="1">
      <c r="A49" s="62"/>
      <c r="B49" s="67"/>
      <c r="C49" s="22">
        <f>C40+C48</f>
        <v>15</v>
      </c>
      <c r="D49" s="16">
        <f>D40+D48</f>
        <v>7543</v>
      </c>
      <c r="E49" s="40">
        <f>E40+E48</f>
        <v>2794255</v>
      </c>
      <c r="F49" s="40">
        <f>F40+F48</f>
        <v>2735703</v>
      </c>
      <c r="G49" s="67"/>
    </row>
    <row r="50" spans="1:7" ht="18" customHeight="1">
      <c r="A50" s="62"/>
      <c r="B50" s="90"/>
      <c r="C50" s="23" t="s">
        <v>7</v>
      </c>
      <c r="D50" s="91"/>
      <c r="E50" s="91"/>
      <c r="F50" s="80"/>
      <c r="G50" s="81"/>
    </row>
    <row r="51" spans="1:7" ht="18" customHeight="1">
      <c r="A51" s="7">
        <v>32</v>
      </c>
      <c r="B51" s="82" t="s">
        <v>55</v>
      </c>
      <c r="C51" s="7">
        <f>+C52</f>
        <v>2</v>
      </c>
      <c r="D51" s="2">
        <f>(0.295+0.295)*1000</f>
        <v>590</v>
      </c>
      <c r="E51" s="37">
        <f>(105.47+105.47)*1000</f>
        <v>210940</v>
      </c>
      <c r="F51" s="38">
        <f>(105.56+108.44)*1000</f>
        <v>214000</v>
      </c>
      <c r="G51" s="64"/>
    </row>
    <row r="52" spans="1:7" ht="18" customHeight="1">
      <c r="A52" s="62">
        <v>33</v>
      </c>
      <c r="B52" s="67" t="s">
        <v>56</v>
      </c>
      <c r="C52" s="5">
        <v>2</v>
      </c>
      <c r="D52" s="2">
        <f>(0.254+0.254)*1000</f>
        <v>508</v>
      </c>
      <c r="E52" s="37">
        <f>(98.332+95.614)*1000</f>
        <v>193946</v>
      </c>
      <c r="F52" s="30">
        <f>(118.47+87.22)*1000</f>
        <v>205690</v>
      </c>
      <c r="G52" s="64"/>
    </row>
    <row r="53" spans="1:7" ht="18" customHeight="1">
      <c r="A53" s="7">
        <v>34</v>
      </c>
      <c r="B53" s="67" t="s">
        <v>57</v>
      </c>
      <c r="C53" s="5">
        <v>1</v>
      </c>
      <c r="D53" s="2">
        <f>0.294*1000</f>
        <v>294</v>
      </c>
      <c r="E53" s="37">
        <f>90.775*1000</f>
        <v>90775</v>
      </c>
      <c r="F53" s="30">
        <f>116.87*1000</f>
        <v>116870</v>
      </c>
      <c r="G53" s="64"/>
    </row>
    <row r="54" spans="1:7" ht="18" customHeight="1">
      <c r="A54" s="7"/>
      <c r="B54" s="67"/>
      <c r="C54" s="15">
        <f>SUM(C51:C53)</f>
        <v>5</v>
      </c>
      <c r="D54" s="4">
        <f>SUM(D51:D53)</f>
        <v>1392</v>
      </c>
      <c r="E54" s="44">
        <f>SUM(E51:E53)</f>
        <v>495661</v>
      </c>
      <c r="F54" s="45">
        <f>SUM(F51:F53)</f>
        <v>536560</v>
      </c>
      <c r="G54" s="64" t="s">
        <v>18</v>
      </c>
    </row>
    <row r="55" spans="1:7" ht="18" customHeight="1">
      <c r="A55" s="62">
        <v>35</v>
      </c>
      <c r="B55" s="67" t="s">
        <v>58</v>
      </c>
      <c r="C55" s="5">
        <v>2</v>
      </c>
      <c r="D55" s="2">
        <f>(0.295+0.301)*1000</f>
        <v>596</v>
      </c>
      <c r="E55" s="37">
        <f>(128.751+143.473)*1000</f>
        <v>272224.00000000006</v>
      </c>
      <c r="F55" s="30">
        <f>(114.71+127.72)*1000</f>
        <v>242430</v>
      </c>
      <c r="G55" s="67"/>
    </row>
    <row r="56" spans="1:7" ht="18" customHeight="1">
      <c r="A56" s="7">
        <v>36</v>
      </c>
      <c r="B56" s="67" t="s">
        <v>59</v>
      </c>
      <c r="C56" s="5">
        <v>1</v>
      </c>
      <c r="D56" s="2">
        <f>0.38*1000</f>
        <v>380</v>
      </c>
      <c r="E56" s="37">
        <f>127.886*1000</f>
        <v>127886</v>
      </c>
      <c r="F56" s="30">
        <f>114.7*1000</f>
        <v>114700</v>
      </c>
      <c r="G56" s="67"/>
    </row>
    <row r="57" spans="1:7" ht="18" customHeight="1">
      <c r="A57" s="62">
        <v>37</v>
      </c>
      <c r="B57" s="67" t="s">
        <v>60</v>
      </c>
      <c r="C57" s="5">
        <v>1</v>
      </c>
      <c r="D57" s="2">
        <f>0.459*1000</f>
        <v>459</v>
      </c>
      <c r="E57" s="37">
        <f>119.986*1000</f>
        <v>119986</v>
      </c>
      <c r="F57" s="30">
        <f>105.38*1000</f>
        <v>105380</v>
      </c>
      <c r="G57" s="67"/>
    </row>
    <row r="58" spans="1:7" ht="18" customHeight="1">
      <c r="A58" s="72">
        <v>38</v>
      </c>
      <c r="B58" s="67" t="s">
        <v>61</v>
      </c>
      <c r="C58" s="5">
        <v>1</v>
      </c>
      <c r="D58" s="2">
        <f>0.676*1000</f>
        <v>676</v>
      </c>
      <c r="E58" s="37">
        <f>211.459*1000</f>
        <v>211459</v>
      </c>
      <c r="F58" s="30">
        <f>189.04*1000</f>
        <v>189040</v>
      </c>
      <c r="G58" s="67"/>
    </row>
    <row r="59" spans="1:7" ht="18" customHeight="1">
      <c r="A59" s="62">
        <v>39</v>
      </c>
      <c r="B59" s="92" t="s">
        <v>62</v>
      </c>
      <c r="C59" s="7">
        <v>4</v>
      </c>
      <c r="D59" s="6">
        <f>(1.124+1.25+0.726+1.021)*1000</f>
        <v>4121</v>
      </c>
      <c r="E59" s="37">
        <f>(223.782+254.532+204.951+130.502)*1000</f>
        <v>813767</v>
      </c>
      <c r="F59" s="38">
        <f>(202.45+235.24+218.61+263.07)*1000</f>
        <v>919369.99999999988</v>
      </c>
      <c r="G59" s="67"/>
    </row>
    <row r="60" spans="1:7" ht="18" customHeight="1">
      <c r="A60" s="62"/>
      <c r="B60" s="92"/>
      <c r="C60" s="20">
        <f>SUM(C55:C59)</f>
        <v>9</v>
      </c>
      <c r="D60" s="93">
        <f>SUM(D55:D59)</f>
        <v>6232</v>
      </c>
      <c r="E60" s="44">
        <f>SUM(E55:E59)</f>
        <v>1545322</v>
      </c>
      <c r="F60" s="41">
        <f>SUM(F55:F59)</f>
        <v>1570920</v>
      </c>
      <c r="G60" s="13" t="s">
        <v>20</v>
      </c>
    </row>
    <row r="61" spans="1:7" ht="18" customHeight="1">
      <c r="A61" s="62"/>
      <c r="B61" s="67"/>
      <c r="C61" s="22">
        <f>C54+C60</f>
        <v>14</v>
      </c>
      <c r="D61" s="16">
        <f>D54+D60</f>
        <v>7624</v>
      </c>
      <c r="E61" s="40">
        <f>E54+E60</f>
        <v>2040983</v>
      </c>
      <c r="F61" s="40">
        <f>F54+F60</f>
        <v>2107480</v>
      </c>
      <c r="G61" s="67"/>
    </row>
    <row r="62" spans="1:7" ht="18" customHeight="1">
      <c r="A62" s="7"/>
      <c r="B62" s="94"/>
      <c r="C62" s="23" t="s">
        <v>8</v>
      </c>
      <c r="D62" s="95"/>
      <c r="E62" s="95"/>
      <c r="F62" s="85"/>
      <c r="G62" s="86"/>
    </row>
    <row r="63" spans="1:7" ht="18" customHeight="1">
      <c r="A63" s="72">
        <v>40</v>
      </c>
      <c r="B63" s="67" t="s">
        <v>63</v>
      </c>
      <c r="C63" s="5">
        <v>2</v>
      </c>
      <c r="D63" s="2">
        <f>(0.274+0.315)*1000</f>
        <v>589</v>
      </c>
      <c r="E63" s="37">
        <f>(90.763+116.063)*1000</f>
        <v>206826.00000000003</v>
      </c>
      <c r="F63" s="30">
        <f>(91.33+127.91)*1000</f>
        <v>219240</v>
      </c>
      <c r="G63" s="64"/>
    </row>
    <row r="64" spans="1:7" ht="18" customHeight="1">
      <c r="A64" s="62">
        <v>41</v>
      </c>
      <c r="B64" s="67" t="s">
        <v>64</v>
      </c>
      <c r="C64" s="5">
        <v>3</v>
      </c>
      <c r="D64" s="2">
        <f>(0.283+0.285+0.285)*1000</f>
        <v>853</v>
      </c>
      <c r="E64" s="37">
        <f>(110.492+92.968+91.651)*1000</f>
        <v>295111</v>
      </c>
      <c r="F64" s="30">
        <f>(150.52+110.32+89.87)*1000</f>
        <v>350710.00000000006</v>
      </c>
      <c r="G64" s="64"/>
    </row>
    <row r="65" spans="1:7" ht="18" customHeight="1">
      <c r="A65" s="62"/>
      <c r="B65" s="67"/>
      <c r="C65" s="15">
        <f>SUM(C63:C64)</f>
        <v>5</v>
      </c>
      <c r="D65" s="4">
        <f>SUM(D63:D64)</f>
        <v>1442</v>
      </c>
      <c r="E65" s="44">
        <f>SUM(E63:E64)</f>
        <v>501937</v>
      </c>
      <c r="F65" s="41">
        <f>SUM(F63:F64)</f>
        <v>569950</v>
      </c>
      <c r="G65" s="64" t="s">
        <v>18</v>
      </c>
    </row>
    <row r="66" spans="1:7" ht="18" customHeight="1">
      <c r="A66" s="62">
        <v>42</v>
      </c>
      <c r="B66" s="67" t="s">
        <v>65</v>
      </c>
      <c r="C66" s="5">
        <v>1</v>
      </c>
      <c r="D66" s="2">
        <f>0.657*1000</f>
        <v>657</v>
      </c>
      <c r="E66" s="37">
        <f>202.921*1000</f>
        <v>202921</v>
      </c>
      <c r="F66" s="38">
        <f>181.37495*1000</f>
        <v>181374.95</v>
      </c>
      <c r="G66" s="14"/>
    </row>
    <row r="67" spans="1:7" ht="18" customHeight="1">
      <c r="A67" s="62">
        <v>43</v>
      </c>
      <c r="B67" s="67" t="s">
        <v>66</v>
      </c>
      <c r="C67" s="5">
        <v>1</v>
      </c>
      <c r="D67" s="2">
        <f>1.488*1000</f>
        <v>1488</v>
      </c>
      <c r="E67" s="37">
        <f>313.667*1000</f>
        <v>313667</v>
      </c>
      <c r="F67" s="38">
        <f>283.42367*1000</f>
        <v>283423.67000000004</v>
      </c>
      <c r="G67" s="67"/>
    </row>
    <row r="68" spans="1:7" ht="18" customHeight="1">
      <c r="A68" s="62">
        <v>44</v>
      </c>
      <c r="B68" s="82" t="s">
        <v>67</v>
      </c>
      <c r="C68" s="7">
        <v>1</v>
      </c>
      <c r="D68" s="2">
        <f>1.285*1000</f>
        <v>1285</v>
      </c>
      <c r="E68" s="37">
        <f>229.572*1000</f>
        <v>229572</v>
      </c>
      <c r="F68" s="38">
        <f>212.80473*1000</f>
        <v>212804.73</v>
      </c>
      <c r="G68" s="67"/>
    </row>
    <row r="69" spans="1:7" ht="18" customHeight="1">
      <c r="A69" s="62">
        <v>45</v>
      </c>
      <c r="B69" s="67" t="s">
        <v>68</v>
      </c>
      <c r="C69" s="5">
        <v>1</v>
      </c>
      <c r="D69" s="2">
        <f>0.378*1000</f>
        <v>378</v>
      </c>
      <c r="E69" s="37">
        <f>101.455*1000</f>
        <v>101455</v>
      </c>
      <c r="F69" s="38">
        <f>92.05022*1000</f>
        <v>92050.22</v>
      </c>
      <c r="G69" s="67"/>
    </row>
    <row r="70" spans="1:7" ht="18" customHeight="1">
      <c r="A70" s="62">
        <v>46</v>
      </c>
      <c r="B70" s="67" t="s">
        <v>69</v>
      </c>
      <c r="C70" s="5">
        <v>1</v>
      </c>
      <c r="D70" s="2">
        <f>0.433*1000</f>
        <v>433</v>
      </c>
      <c r="E70" s="37">
        <f>130.663*1000</f>
        <v>130663.00000000001</v>
      </c>
      <c r="F70" s="61">
        <f>(33.95279+90.29164)*1000</f>
        <v>124244.43</v>
      </c>
      <c r="G70" s="67"/>
    </row>
    <row r="71" spans="1:7" ht="18" customHeight="1">
      <c r="A71" s="72">
        <v>47</v>
      </c>
      <c r="B71" s="67" t="s">
        <v>70</v>
      </c>
      <c r="C71" s="5">
        <v>1</v>
      </c>
      <c r="D71" s="2">
        <f>0.598*1000</f>
        <v>598</v>
      </c>
      <c r="E71" s="37">
        <f>200.879*1000</f>
        <v>200879</v>
      </c>
      <c r="F71" s="39">
        <f>181.46891*1000</f>
        <v>181468.91</v>
      </c>
      <c r="G71" s="67"/>
    </row>
    <row r="72" spans="1:7" ht="18" customHeight="1">
      <c r="A72" s="7">
        <v>48</v>
      </c>
      <c r="B72" s="82" t="s">
        <v>134</v>
      </c>
      <c r="C72" s="7">
        <v>3</v>
      </c>
      <c r="D72" s="31">
        <f>2.76*1000</f>
        <v>2760</v>
      </c>
      <c r="E72" s="46">
        <f>767.96*1000</f>
        <v>767960</v>
      </c>
      <c r="F72" s="39">
        <f>(151.61+533.32)*1000</f>
        <v>684930.00000000012</v>
      </c>
      <c r="G72" s="67"/>
    </row>
    <row r="73" spans="1:7" ht="18" customHeight="1">
      <c r="A73" s="62"/>
      <c r="B73" s="82"/>
      <c r="C73" s="20">
        <f>SUM(C66:C72)</f>
        <v>9</v>
      </c>
      <c r="D73" s="10">
        <f>SUM(D66:D72)</f>
        <v>7599</v>
      </c>
      <c r="E73" s="47">
        <f>SUM(E66:E72)</f>
        <v>1947117</v>
      </c>
      <c r="F73" s="41">
        <f>SUM(F66:F72)</f>
        <v>1760296.9100000001</v>
      </c>
      <c r="G73" s="13" t="s">
        <v>20</v>
      </c>
    </row>
    <row r="74" spans="1:7" ht="18" customHeight="1">
      <c r="A74" s="62"/>
      <c r="B74" s="67"/>
      <c r="C74" s="22">
        <f>C65+C73</f>
        <v>14</v>
      </c>
      <c r="D74" s="16">
        <f>D65+D73</f>
        <v>9041</v>
      </c>
      <c r="E74" s="40">
        <f>E65+E73</f>
        <v>2449054</v>
      </c>
      <c r="F74" s="40">
        <f>F65+F73</f>
        <v>2330246.91</v>
      </c>
      <c r="G74" s="82"/>
    </row>
    <row r="75" spans="1:7" ht="18" customHeight="1">
      <c r="A75" s="62"/>
      <c r="B75" s="90"/>
      <c r="C75" s="23" t="s">
        <v>9</v>
      </c>
      <c r="D75" s="91"/>
      <c r="E75" s="91"/>
      <c r="F75" s="80"/>
      <c r="G75" s="81"/>
    </row>
    <row r="76" spans="1:7" ht="18" customHeight="1">
      <c r="A76" s="7">
        <v>49</v>
      </c>
      <c r="B76" s="68" t="s">
        <v>71</v>
      </c>
      <c r="C76" s="7">
        <v>2</v>
      </c>
      <c r="D76" s="2">
        <f>0.536*1000</f>
        <v>536</v>
      </c>
      <c r="E76" s="37">
        <f>(96.708+98.29)*1000</f>
        <v>194998</v>
      </c>
      <c r="F76" s="30">
        <f>(91.64+93.06)*1000</f>
        <v>184700</v>
      </c>
      <c r="G76" s="64"/>
    </row>
    <row r="77" spans="1:7" ht="18" customHeight="1">
      <c r="A77" s="72">
        <v>50</v>
      </c>
      <c r="B77" s="67" t="s">
        <v>72</v>
      </c>
      <c r="C77" s="5">
        <v>1</v>
      </c>
      <c r="D77" s="6">
        <f>0.282*1000</f>
        <v>282</v>
      </c>
      <c r="E77" s="37">
        <f>120.748*1000</f>
        <v>120748</v>
      </c>
      <c r="F77" s="30">
        <f>115.253*1000</f>
        <v>115253</v>
      </c>
      <c r="G77" s="64"/>
    </row>
    <row r="78" spans="1:7" ht="18" customHeight="1">
      <c r="A78" s="7">
        <v>51</v>
      </c>
      <c r="B78" s="67" t="s">
        <v>73</v>
      </c>
      <c r="C78" s="5">
        <v>1</v>
      </c>
      <c r="D78" s="2">
        <f>0.171*1000</f>
        <v>171</v>
      </c>
      <c r="E78" s="37">
        <f>80.526*1000</f>
        <v>80526</v>
      </c>
      <c r="F78" s="30">
        <f>112.568*1000</f>
        <v>112568</v>
      </c>
      <c r="G78" s="64"/>
    </row>
    <row r="79" spans="1:7" ht="18" customHeight="1">
      <c r="A79" s="7">
        <v>52</v>
      </c>
      <c r="B79" s="67" t="s">
        <v>74</v>
      </c>
      <c r="C79" s="5">
        <v>2</v>
      </c>
      <c r="D79" s="2">
        <f>(0.257+0.257)*1000</f>
        <v>514</v>
      </c>
      <c r="E79" s="37">
        <f>(76.983+77.397)*1000</f>
        <v>154380</v>
      </c>
      <c r="F79" s="30">
        <f>(73.38+75.35)*1000</f>
        <v>148730</v>
      </c>
      <c r="G79" s="64"/>
    </row>
    <row r="80" spans="1:7" ht="18" customHeight="1">
      <c r="A80" s="7"/>
      <c r="B80" s="67"/>
      <c r="C80" s="15">
        <f>SUM(C76:C79)</f>
        <v>6</v>
      </c>
      <c r="D80" s="4">
        <f>SUM(D76:D79)</f>
        <v>1503</v>
      </c>
      <c r="E80" s="44">
        <f>SUM(E76:E79)</f>
        <v>550652</v>
      </c>
      <c r="F80" s="45">
        <f>SUM(F76:F79)</f>
        <v>561251</v>
      </c>
      <c r="G80" s="64" t="s">
        <v>18</v>
      </c>
    </row>
    <row r="81" spans="1:7" ht="18" customHeight="1">
      <c r="A81" s="7">
        <v>54</v>
      </c>
      <c r="B81" s="82" t="s">
        <v>75</v>
      </c>
      <c r="C81" s="7">
        <v>3</v>
      </c>
      <c r="D81" s="2">
        <f>(0.451+1.394+1.07)*1000</f>
        <v>2915</v>
      </c>
      <c r="E81" s="37">
        <f>(132.41+298.014+259.211)*1000</f>
        <v>689635</v>
      </c>
      <c r="F81" s="38">
        <f>(114.92+256.4+225.86)*1000</f>
        <v>597180.00000000012</v>
      </c>
      <c r="G81" s="67"/>
    </row>
    <row r="82" spans="1:7" ht="18" customHeight="1">
      <c r="A82" s="7">
        <v>55</v>
      </c>
      <c r="B82" s="89" t="s">
        <v>22</v>
      </c>
      <c r="C82" s="5">
        <v>2</v>
      </c>
      <c r="D82" s="2">
        <f>(0.442+0.442)*1000</f>
        <v>884</v>
      </c>
      <c r="E82" s="37">
        <f>(126.759+142.149)*1000</f>
        <v>268908</v>
      </c>
      <c r="F82" s="30">
        <f>(193.47+174.38)*1000</f>
        <v>367850</v>
      </c>
      <c r="G82" s="67"/>
    </row>
    <row r="83" spans="1:7" ht="18" customHeight="1">
      <c r="A83" s="7">
        <v>56</v>
      </c>
      <c r="B83" s="67" t="s">
        <v>76</v>
      </c>
      <c r="C83" s="5">
        <v>2</v>
      </c>
      <c r="D83" s="2">
        <f>(0.541+0.494)*1000</f>
        <v>1035.0000000000002</v>
      </c>
      <c r="E83" s="37">
        <f>425.15*1000</f>
        <v>425150</v>
      </c>
      <c r="F83" s="30">
        <f>(223.9+143.67)*1000</f>
        <v>367570</v>
      </c>
      <c r="G83" s="67"/>
    </row>
    <row r="84" spans="1:7" ht="18" customHeight="1">
      <c r="A84" s="62">
        <v>57</v>
      </c>
      <c r="B84" s="92" t="s">
        <v>135</v>
      </c>
      <c r="C84" s="5">
        <v>2</v>
      </c>
      <c r="D84" s="21">
        <f>3.7*1000</f>
        <v>3700</v>
      </c>
      <c r="E84" s="39">
        <f>816.84*1000</f>
        <v>816840</v>
      </c>
      <c r="F84" s="38">
        <f>(249.69+483.06)*1000</f>
        <v>732750</v>
      </c>
      <c r="G84" s="67"/>
    </row>
    <row r="85" spans="1:7" ht="18" customHeight="1">
      <c r="A85" s="7"/>
      <c r="B85" s="92"/>
      <c r="C85" s="15">
        <f>SUM(C81:C84)</f>
        <v>9</v>
      </c>
      <c r="D85" s="16">
        <f>SUM(D81:D84)</f>
        <v>8534</v>
      </c>
      <c r="E85" s="40">
        <f>SUM(E81:E84)</f>
        <v>2200533</v>
      </c>
      <c r="F85" s="41">
        <f>SUM(F81:F84)</f>
        <v>2065350</v>
      </c>
      <c r="G85" s="13" t="s">
        <v>20</v>
      </c>
    </row>
    <row r="86" spans="1:7" ht="18" customHeight="1">
      <c r="A86" s="62"/>
      <c r="B86" s="67"/>
      <c r="C86" s="22">
        <f>C80+C85</f>
        <v>15</v>
      </c>
      <c r="D86" s="16">
        <f>D80+D85</f>
        <v>10037</v>
      </c>
      <c r="E86" s="40">
        <f>E80+E85</f>
        <v>2751185</v>
      </c>
      <c r="F86" s="40">
        <f>F80+F85</f>
        <v>2626601</v>
      </c>
      <c r="G86" s="67"/>
    </row>
    <row r="87" spans="1:7" ht="18" customHeight="1">
      <c r="A87" s="62"/>
      <c r="B87" s="90"/>
      <c r="C87" s="23" t="s">
        <v>10</v>
      </c>
      <c r="D87" s="80"/>
      <c r="E87" s="80"/>
      <c r="F87" s="80"/>
      <c r="G87" s="81"/>
    </row>
    <row r="88" spans="1:7" ht="18" customHeight="1">
      <c r="A88" s="62">
        <v>58</v>
      </c>
      <c r="B88" s="68" t="s">
        <v>77</v>
      </c>
      <c r="C88" s="7">
        <v>2</v>
      </c>
      <c r="D88" s="2">
        <f>(0.279+0.279)*1000</f>
        <v>558</v>
      </c>
      <c r="E88" s="37">
        <f>(91.706+99.534)*1000</f>
        <v>191240</v>
      </c>
      <c r="F88" s="30">
        <f>182.952*1000</f>
        <v>182952</v>
      </c>
      <c r="G88" s="64"/>
    </row>
    <row r="89" spans="1:7" ht="18" customHeight="1">
      <c r="A89" s="62">
        <v>59</v>
      </c>
      <c r="B89" s="67" t="s">
        <v>78</v>
      </c>
      <c r="C89" s="5">
        <v>2</v>
      </c>
      <c r="D89" s="2">
        <f>(0.282+0.283)*1000</f>
        <v>565</v>
      </c>
      <c r="E89" s="37">
        <f>(100.937+110.379)*1000</f>
        <v>211316</v>
      </c>
      <c r="F89" s="30">
        <f>235.356*1000</f>
        <v>235356</v>
      </c>
      <c r="G89" s="64"/>
    </row>
    <row r="90" spans="1:7" ht="18" customHeight="1">
      <c r="A90" s="7">
        <v>60</v>
      </c>
      <c r="B90" s="67" t="s">
        <v>79</v>
      </c>
      <c r="C90" s="5">
        <v>1</v>
      </c>
      <c r="D90" s="2">
        <f>0.285*1000</f>
        <v>285</v>
      </c>
      <c r="E90" s="37">
        <f>87.477*1000</f>
        <v>87477</v>
      </c>
      <c r="F90" s="30">
        <f>86.932*1000</f>
        <v>86932</v>
      </c>
      <c r="G90" s="64"/>
    </row>
    <row r="91" spans="1:7" ht="18" customHeight="1">
      <c r="A91" s="7"/>
      <c r="B91" s="67"/>
      <c r="C91" s="15">
        <f>SUM(C88:C90)</f>
        <v>5</v>
      </c>
      <c r="D91" s="4">
        <f>SUM(D88:D90)</f>
        <v>1408</v>
      </c>
      <c r="E91" s="44">
        <f>SUM(E88:E90)</f>
        <v>490033</v>
      </c>
      <c r="F91" s="45">
        <f>SUM(F88:F90)</f>
        <v>505240</v>
      </c>
      <c r="G91" s="64" t="s">
        <v>18</v>
      </c>
    </row>
    <row r="92" spans="1:7" ht="18" customHeight="1">
      <c r="A92" s="62">
        <v>61</v>
      </c>
      <c r="B92" s="82" t="s">
        <v>80</v>
      </c>
      <c r="C92" s="7">
        <v>2</v>
      </c>
      <c r="D92" s="2">
        <f>(0.971+0.924)*1000</f>
        <v>1895</v>
      </c>
      <c r="E92" s="37">
        <f>(174.56+178.726)*1000</f>
        <v>353286</v>
      </c>
      <c r="F92" s="30">
        <f>320.031*1000</f>
        <v>320031</v>
      </c>
      <c r="G92" s="67"/>
    </row>
    <row r="93" spans="1:7" ht="18" customHeight="1">
      <c r="A93" s="7">
        <v>62</v>
      </c>
      <c r="B93" s="67" t="s">
        <v>81</v>
      </c>
      <c r="C93" s="5">
        <v>1</v>
      </c>
      <c r="D93" s="2">
        <f>0.604*1000</f>
        <v>604</v>
      </c>
      <c r="E93" s="37">
        <f>266.866*1000</f>
        <v>266866</v>
      </c>
      <c r="F93" s="30">
        <f>237.743*1000</f>
        <v>237743</v>
      </c>
      <c r="G93" s="67"/>
    </row>
    <row r="94" spans="1:7" ht="18" customHeight="1">
      <c r="A94" s="62">
        <v>63</v>
      </c>
      <c r="B94" s="67" t="s">
        <v>82</v>
      </c>
      <c r="C94" s="5">
        <v>1</v>
      </c>
      <c r="D94" s="2">
        <f>0.405*1000</f>
        <v>405</v>
      </c>
      <c r="E94" s="37">
        <f>185.215*1000</f>
        <v>185215</v>
      </c>
      <c r="F94" s="30">
        <f>163.85*1000</f>
        <v>163850</v>
      </c>
      <c r="G94" s="67"/>
    </row>
    <row r="95" spans="1:7" ht="18" customHeight="1">
      <c r="A95" s="7">
        <v>64</v>
      </c>
      <c r="B95" s="67" t="s">
        <v>83</v>
      </c>
      <c r="C95" s="5">
        <v>2</v>
      </c>
      <c r="D95" s="6">
        <f>(0.539+0.539)*1000</f>
        <v>1078</v>
      </c>
      <c r="E95" s="37">
        <f>(154.48+150.566)*1000</f>
        <v>305046</v>
      </c>
      <c r="F95" s="30">
        <f>273.264*1000</f>
        <v>273264</v>
      </c>
      <c r="G95" s="67"/>
    </row>
    <row r="96" spans="1:7" ht="18" customHeight="1">
      <c r="A96" s="7">
        <v>65</v>
      </c>
      <c r="B96" s="82" t="s">
        <v>84</v>
      </c>
      <c r="C96" s="7">
        <v>2</v>
      </c>
      <c r="D96" s="31">
        <f>2.53*1000</f>
        <v>2530</v>
      </c>
      <c r="E96" s="46">
        <f>554.92*1000</f>
        <v>554920</v>
      </c>
      <c r="F96" s="30">
        <f>502.093*1000</f>
        <v>502093</v>
      </c>
      <c r="G96" s="67"/>
    </row>
    <row r="97" spans="1:7" ht="17.25" customHeight="1">
      <c r="A97" s="62">
        <v>66</v>
      </c>
      <c r="B97" s="92" t="s">
        <v>136</v>
      </c>
      <c r="C97" s="7">
        <v>2</v>
      </c>
      <c r="D97" s="31">
        <f>2.85*1000</f>
        <v>2850</v>
      </c>
      <c r="E97" s="46">
        <f>590.5*1000</f>
        <v>590500</v>
      </c>
      <c r="F97" s="30">
        <f>717.56*1000</f>
        <v>717560</v>
      </c>
      <c r="G97" s="67"/>
    </row>
    <row r="98" spans="1:7" ht="18" customHeight="1">
      <c r="A98" s="7"/>
      <c r="B98" s="92"/>
      <c r="C98" s="20">
        <f>SUM(C92:C97)</f>
        <v>10</v>
      </c>
      <c r="D98" s="10">
        <f>SUM(D92:D97)</f>
        <v>9362</v>
      </c>
      <c r="E98" s="47">
        <f>SUM(E92:E97)</f>
        <v>2255833</v>
      </c>
      <c r="F98" s="45">
        <f>SUM(F92:F97)</f>
        <v>2214541</v>
      </c>
      <c r="G98" s="13" t="s">
        <v>20</v>
      </c>
    </row>
    <row r="99" spans="1:7" ht="18" customHeight="1">
      <c r="A99" s="62"/>
      <c r="B99" s="67"/>
      <c r="C99" s="22">
        <f>C91+C98</f>
        <v>15</v>
      </c>
      <c r="D99" s="16">
        <f>D91+D98</f>
        <v>10770</v>
      </c>
      <c r="E99" s="40">
        <f>E91+E98</f>
        <v>2745866</v>
      </c>
      <c r="F99" s="40">
        <f>F91+F98</f>
        <v>2719781</v>
      </c>
      <c r="G99" s="67"/>
    </row>
    <row r="100" spans="1:7" ht="18" customHeight="1">
      <c r="A100" s="62"/>
      <c r="B100" s="90"/>
      <c r="C100" s="23" t="s">
        <v>11</v>
      </c>
      <c r="D100" s="91"/>
      <c r="E100" s="91"/>
      <c r="F100" s="80"/>
      <c r="G100" s="81"/>
    </row>
    <row r="101" spans="1:7" ht="18" customHeight="1">
      <c r="A101" s="62">
        <v>67</v>
      </c>
      <c r="B101" s="82" t="s">
        <v>85</v>
      </c>
      <c r="C101" s="96">
        <v>2</v>
      </c>
      <c r="D101" s="2">
        <f>(0.3+0.3)*1000</f>
        <v>600</v>
      </c>
      <c r="E101" s="37">
        <f>(116.939+115.345)*1000</f>
        <v>232284</v>
      </c>
      <c r="F101" s="38">
        <f>(147.754+113.69)*1000</f>
        <v>261443.99999999997</v>
      </c>
      <c r="G101" s="64"/>
    </row>
    <row r="102" spans="1:7" ht="18" customHeight="1">
      <c r="A102" s="7">
        <v>68</v>
      </c>
      <c r="B102" s="67" t="s">
        <v>86</v>
      </c>
      <c r="C102" s="5">
        <v>1</v>
      </c>
      <c r="D102" s="2">
        <f>0.278*1000</f>
        <v>278</v>
      </c>
      <c r="E102" s="37">
        <f>72.36*1000</f>
        <v>72360</v>
      </c>
      <c r="F102" s="30">
        <f>101.491*1000</f>
        <v>101491</v>
      </c>
      <c r="G102" s="64"/>
    </row>
    <row r="103" spans="1:7" ht="18" customHeight="1">
      <c r="A103" s="62">
        <v>69</v>
      </c>
      <c r="B103" s="67" t="s">
        <v>87</v>
      </c>
      <c r="C103" s="5">
        <v>2</v>
      </c>
      <c r="D103" s="2">
        <f>(0.31+0.31)*1000</f>
        <v>620</v>
      </c>
      <c r="E103" s="37">
        <f>(80.323+80.323)*1000</f>
        <v>160646</v>
      </c>
      <c r="F103" s="38">
        <f>167.569*1000</f>
        <v>167569</v>
      </c>
      <c r="G103" s="64"/>
    </row>
    <row r="104" spans="1:7" ht="18" customHeight="1">
      <c r="A104" s="7"/>
      <c r="B104" s="67"/>
      <c r="C104" s="15">
        <f>SUM(C101:C103)</f>
        <v>5</v>
      </c>
      <c r="D104" s="4">
        <f>SUM(D101:D103)</f>
        <v>1498</v>
      </c>
      <c r="E104" s="44">
        <f>SUM(E101:E103)</f>
        <v>465290</v>
      </c>
      <c r="F104" s="45">
        <f>SUM(F101:F103)</f>
        <v>530504</v>
      </c>
      <c r="G104" s="64" t="s">
        <v>18</v>
      </c>
    </row>
    <row r="105" spans="1:7" ht="17.25" customHeight="1">
      <c r="A105" s="7">
        <v>70</v>
      </c>
      <c r="B105" s="67" t="s">
        <v>88</v>
      </c>
      <c r="C105" s="5">
        <v>1</v>
      </c>
      <c r="D105" s="2">
        <f>0.626*1000</f>
        <v>626</v>
      </c>
      <c r="E105" s="37">
        <f>182.809*1000</f>
        <v>182809</v>
      </c>
      <c r="F105" s="30">
        <f>163.28*1000</f>
        <v>163280</v>
      </c>
      <c r="G105" s="67"/>
    </row>
    <row r="106" spans="1:7" ht="18" customHeight="1">
      <c r="A106" s="62">
        <v>71</v>
      </c>
      <c r="B106" s="67" t="s">
        <v>89</v>
      </c>
      <c r="C106" s="5">
        <v>1</v>
      </c>
      <c r="D106" s="2">
        <f>0.313*1000</f>
        <v>313</v>
      </c>
      <c r="E106" s="37">
        <f>97.058*1000</f>
        <v>97058</v>
      </c>
      <c r="F106" s="30">
        <f>87.73*1000</f>
        <v>87730</v>
      </c>
      <c r="G106" s="67"/>
    </row>
    <row r="107" spans="1:7" ht="18" customHeight="1">
      <c r="A107" s="7">
        <v>72</v>
      </c>
      <c r="B107" s="82" t="s">
        <v>90</v>
      </c>
      <c r="C107" s="7">
        <v>2</v>
      </c>
      <c r="D107" s="2">
        <f>(1.52+1.52)*1000</f>
        <v>3040</v>
      </c>
      <c r="E107" s="37">
        <f>(547.209+459.909)*1000</f>
        <v>1007117.9999999999</v>
      </c>
      <c r="F107" s="38">
        <f>925.603*1000</f>
        <v>925603</v>
      </c>
      <c r="G107" s="67"/>
    </row>
    <row r="108" spans="1:7" ht="18" customHeight="1">
      <c r="A108" s="62">
        <v>73</v>
      </c>
      <c r="B108" s="89" t="s">
        <v>91</v>
      </c>
      <c r="C108" s="5">
        <v>3</v>
      </c>
      <c r="D108" s="21">
        <f>2.85*1000</f>
        <v>2850</v>
      </c>
      <c r="E108" s="39">
        <f>784.89*1000</f>
        <v>784890</v>
      </c>
      <c r="F108" s="30">
        <f>713.545*1000</f>
        <v>713545</v>
      </c>
      <c r="G108" s="67"/>
    </row>
    <row r="109" spans="1:7" ht="18" customHeight="1">
      <c r="A109" s="62">
        <v>74</v>
      </c>
      <c r="B109" s="82" t="s">
        <v>137</v>
      </c>
      <c r="C109" s="7">
        <v>1</v>
      </c>
      <c r="D109" s="31">
        <f>1.32*1000</f>
        <v>1320</v>
      </c>
      <c r="E109" s="46">
        <f>336.67*1000</f>
        <v>336670</v>
      </c>
      <c r="F109" s="38">
        <f>132.68*1000</f>
        <v>132680</v>
      </c>
      <c r="G109" s="67"/>
    </row>
    <row r="110" spans="1:7" ht="18" customHeight="1">
      <c r="A110" s="62">
        <v>75</v>
      </c>
      <c r="B110" s="89" t="s">
        <v>138</v>
      </c>
      <c r="C110" s="5">
        <v>2</v>
      </c>
      <c r="D110" s="2">
        <v>1430</v>
      </c>
      <c r="E110" s="37">
        <f>321.5*1000</f>
        <v>321500</v>
      </c>
      <c r="F110" s="30">
        <f>389.23*1000</f>
        <v>389230</v>
      </c>
      <c r="G110" s="67"/>
    </row>
    <row r="111" spans="1:7" ht="18" customHeight="1">
      <c r="A111" s="7"/>
      <c r="B111" s="97"/>
      <c r="C111" s="15">
        <f>SUM(C105:C110)</f>
        <v>10</v>
      </c>
      <c r="D111" s="98">
        <f>SUM(D105:D110)</f>
        <v>9579</v>
      </c>
      <c r="E111" s="99">
        <f>SUM(E105:E110)</f>
        <v>2730045</v>
      </c>
      <c r="F111" s="45">
        <f>SUM(F105:F110)</f>
        <v>2412068</v>
      </c>
      <c r="G111" s="13" t="s">
        <v>20</v>
      </c>
    </row>
    <row r="112" spans="1:7" ht="18" customHeight="1">
      <c r="A112" s="100"/>
      <c r="B112" s="101"/>
      <c r="C112" s="102">
        <f>C104+C111</f>
        <v>15</v>
      </c>
      <c r="D112" s="103">
        <f>D104+D111</f>
        <v>11077</v>
      </c>
      <c r="E112" s="104">
        <f>E104+E111</f>
        <v>3195335</v>
      </c>
      <c r="F112" s="40">
        <f>F104+F111</f>
        <v>2942572</v>
      </c>
      <c r="G112" s="14"/>
    </row>
    <row r="113" spans="1:7" ht="18" customHeight="1">
      <c r="A113" s="62"/>
      <c r="B113" s="90"/>
      <c r="C113" s="23" t="s">
        <v>12</v>
      </c>
      <c r="D113" s="80"/>
      <c r="E113" s="80"/>
      <c r="F113" s="80"/>
      <c r="G113" s="81"/>
    </row>
    <row r="114" spans="1:7" ht="18" customHeight="1">
      <c r="A114" s="62">
        <v>76</v>
      </c>
      <c r="B114" s="67" t="s">
        <v>92</v>
      </c>
      <c r="C114" s="5">
        <v>2</v>
      </c>
      <c r="D114" s="2">
        <f>(0.278+0.278)*1000</f>
        <v>556</v>
      </c>
      <c r="E114" s="37">
        <f>(104.275+106.217)*1000</f>
        <v>210492.00000000003</v>
      </c>
      <c r="F114" s="30">
        <f>(113.85+111.65)*1000</f>
        <v>225500</v>
      </c>
      <c r="G114" s="64"/>
    </row>
    <row r="115" spans="1:7" ht="18" customHeight="1">
      <c r="A115" s="62">
        <v>77</v>
      </c>
      <c r="B115" s="67" t="s">
        <v>93</v>
      </c>
      <c r="C115" s="5">
        <v>1</v>
      </c>
      <c r="D115" s="2">
        <f>0.265*1000</f>
        <v>265</v>
      </c>
      <c r="E115" s="37">
        <f>83.656*1000</f>
        <v>83656</v>
      </c>
      <c r="F115" s="30">
        <f>95.73*1000</f>
        <v>95730</v>
      </c>
      <c r="G115" s="64"/>
    </row>
    <row r="116" spans="1:7" ht="18" customHeight="1">
      <c r="A116" s="62">
        <v>78</v>
      </c>
      <c r="B116" s="67" t="s">
        <v>95</v>
      </c>
      <c r="C116" s="5">
        <v>1</v>
      </c>
      <c r="D116" s="2">
        <f>0.292*1000</f>
        <v>292</v>
      </c>
      <c r="E116" s="37">
        <f>87.138*1000</f>
        <v>87138</v>
      </c>
      <c r="F116" s="30">
        <f>137.32*1000</f>
        <v>137320</v>
      </c>
      <c r="G116" s="64"/>
    </row>
    <row r="117" spans="1:7" ht="18" customHeight="1">
      <c r="A117" s="62">
        <v>79</v>
      </c>
      <c r="B117" s="67" t="s">
        <v>94</v>
      </c>
      <c r="C117" s="5">
        <v>1</v>
      </c>
      <c r="D117" s="2">
        <f>0.232*1000</f>
        <v>232</v>
      </c>
      <c r="E117" s="37">
        <f>92.857*1000</f>
        <v>92857</v>
      </c>
      <c r="F117" s="30">
        <f>100.7*1000</f>
        <v>100700</v>
      </c>
      <c r="G117" s="64"/>
    </row>
    <row r="118" spans="1:7" ht="18" customHeight="1">
      <c r="A118" s="62"/>
      <c r="B118" s="67"/>
      <c r="C118" s="15">
        <f>SUM(C114:C117)</f>
        <v>5</v>
      </c>
      <c r="D118" s="4">
        <f>SUM(D114:D117)</f>
        <v>1345</v>
      </c>
      <c r="E118" s="44">
        <f>SUM(E114:E117)</f>
        <v>474143</v>
      </c>
      <c r="F118" s="45">
        <f>SUM(F114:F117)</f>
        <v>559250</v>
      </c>
      <c r="G118" s="64" t="s">
        <v>18</v>
      </c>
    </row>
    <row r="119" spans="1:7" ht="18" customHeight="1">
      <c r="A119" s="62">
        <v>80</v>
      </c>
      <c r="B119" s="67" t="s">
        <v>96</v>
      </c>
      <c r="C119" s="5">
        <v>1</v>
      </c>
      <c r="D119" s="2">
        <f>0.788*1000</f>
        <v>788</v>
      </c>
      <c r="E119" s="37">
        <f>306.972*1000</f>
        <v>306972</v>
      </c>
      <c r="F119" s="30">
        <f>273.48*1000</f>
        <v>273480</v>
      </c>
      <c r="G119" s="14"/>
    </row>
    <row r="120" spans="1:7" ht="18" customHeight="1">
      <c r="A120" s="62">
        <v>81</v>
      </c>
      <c r="B120" s="67" t="s">
        <v>97</v>
      </c>
      <c r="C120" s="5">
        <v>2</v>
      </c>
      <c r="D120" s="2">
        <f>(0.574+0.574)*1000</f>
        <v>1148</v>
      </c>
      <c r="E120" s="37">
        <f>(144.284+145.075)*1000</f>
        <v>289359</v>
      </c>
      <c r="F120" s="30">
        <f>(129.52+130.24)*1000</f>
        <v>259760</v>
      </c>
      <c r="G120" s="67"/>
    </row>
    <row r="121" spans="1:7" ht="18" customHeight="1">
      <c r="A121" s="62">
        <v>82</v>
      </c>
      <c r="B121" s="67" t="s">
        <v>98</v>
      </c>
      <c r="C121" s="5">
        <v>1</v>
      </c>
      <c r="D121" s="2">
        <f>0.285*1000</f>
        <v>285</v>
      </c>
      <c r="E121" s="37">
        <f>126.189*1000</f>
        <v>126189</v>
      </c>
      <c r="F121" s="30">
        <f>112.44*1000</f>
        <v>112440</v>
      </c>
      <c r="G121" s="67"/>
    </row>
    <row r="122" spans="1:7" ht="18" customHeight="1">
      <c r="A122" s="62">
        <v>83</v>
      </c>
      <c r="B122" s="67" t="s">
        <v>99</v>
      </c>
      <c r="C122" s="5">
        <v>1</v>
      </c>
      <c r="D122" s="2">
        <f>0.379*1000</f>
        <v>379</v>
      </c>
      <c r="E122" s="37">
        <f>153.758*1000</f>
        <v>153758</v>
      </c>
      <c r="F122" s="30">
        <f>136.55*1000</f>
        <v>136550</v>
      </c>
      <c r="G122" s="67"/>
    </row>
    <row r="123" spans="1:7" ht="18" customHeight="1">
      <c r="A123" s="62">
        <v>84</v>
      </c>
      <c r="B123" s="67" t="s">
        <v>100</v>
      </c>
      <c r="C123" s="5">
        <v>1</v>
      </c>
      <c r="D123" s="2">
        <f>0.362*1000</f>
        <v>362</v>
      </c>
      <c r="E123" s="37">
        <f>124.142*1000</f>
        <v>124142</v>
      </c>
      <c r="F123" s="30">
        <f>111.48*1000</f>
        <v>111480</v>
      </c>
      <c r="G123" s="67"/>
    </row>
    <row r="124" spans="1:7" ht="18" customHeight="1">
      <c r="A124" s="62">
        <v>85</v>
      </c>
      <c r="B124" s="67" t="s">
        <v>101</v>
      </c>
      <c r="C124" s="5">
        <v>1</v>
      </c>
      <c r="D124" s="2">
        <f>0.418*1000</f>
        <v>418</v>
      </c>
      <c r="E124" s="37">
        <f>146.272*1000</f>
        <v>146272</v>
      </c>
      <c r="F124" s="30">
        <f>124.52*1000</f>
        <v>124520</v>
      </c>
      <c r="G124" s="67"/>
    </row>
    <row r="125" spans="1:7" ht="18" customHeight="1">
      <c r="A125" s="62">
        <v>86</v>
      </c>
      <c r="B125" s="89" t="s">
        <v>102</v>
      </c>
      <c r="C125" s="5">
        <v>3</v>
      </c>
      <c r="D125" s="2">
        <f>(1.268+1.227+0.71)*1000</f>
        <v>3205</v>
      </c>
      <c r="E125" s="37">
        <f>(245.907+235.475+144.688)*1000</f>
        <v>626069.99999999988</v>
      </c>
      <c r="F125" s="30">
        <f>(222.85+213.29+130.89)*1000</f>
        <v>567030</v>
      </c>
      <c r="G125" s="67"/>
    </row>
    <row r="126" spans="1:7" ht="18" customHeight="1">
      <c r="A126" s="7"/>
      <c r="B126" s="97"/>
      <c r="C126" s="15">
        <f>SUM(C119:C125)</f>
        <v>10</v>
      </c>
      <c r="D126" s="98">
        <f>SUM(D119:D125)</f>
        <v>6585</v>
      </c>
      <c r="E126" s="99">
        <f>SUM(E119:E125)</f>
        <v>1772762</v>
      </c>
      <c r="F126" s="45">
        <f>SUM(F119:F125)</f>
        <v>1585260</v>
      </c>
      <c r="G126" s="13" t="s">
        <v>20</v>
      </c>
    </row>
    <row r="127" spans="1:7" ht="18" customHeight="1">
      <c r="A127" s="100"/>
      <c r="B127" s="101"/>
      <c r="C127" s="102">
        <f>C118+C126</f>
        <v>15</v>
      </c>
      <c r="D127" s="103">
        <f>D118+D126</f>
        <v>7930</v>
      </c>
      <c r="E127" s="104">
        <f>E118+E126</f>
        <v>2246905</v>
      </c>
      <c r="F127" s="40">
        <f>F118+F126</f>
        <v>2144510</v>
      </c>
      <c r="G127" s="14"/>
    </row>
    <row r="128" spans="1:7" ht="18" customHeight="1">
      <c r="A128" s="62"/>
      <c r="B128" s="90"/>
      <c r="C128" s="23" t="s">
        <v>13</v>
      </c>
      <c r="D128" s="91"/>
      <c r="E128" s="91"/>
      <c r="F128" s="80"/>
      <c r="G128" s="81"/>
    </row>
    <row r="129" spans="1:7" ht="18" customHeight="1">
      <c r="A129" s="7">
        <v>87</v>
      </c>
      <c r="B129" s="82" t="s">
        <v>103</v>
      </c>
      <c r="C129" s="7">
        <v>2</v>
      </c>
      <c r="D129" s="2">
        <f>(0.29+0.29)*1000</f>
        <v>580</v>
      </c>
      <c r="E129" s="37">
        <f>(127.639+126.26)*1000</f>
        <v>253899</v>
      </c>
      <c r="F129" s="38">
        <f>(115.51+115.27)*1000</f>
        <v>230780</v>
      </c>
      <c r="G129" s="64"/>
    </row>
    <row r="130" spans="1:7" ht="18" customHeight="1">
      <c r="A130" s="62">
        <v>88</v>
      </c>
      <c r="B130" s="67" t="s">
        <v>104</v>
      </c>
      <c r="C130" s="5">
        <v>2</v>
      </c>
      <c r="D130" s="2">
        <f>(0.28+0.275)*1000</f>
        <v>555</v>
      </c>
      <c r="E130" s="37">
        <f>(83.997+99.538)*1000</f>
        <v>183535</v>
      </c>
      <c r="F130" s="38">
        <f>(80.21+112.44)*1000</f>
        <v>192649.99999999997</v>
      </c>
      <c r="G130" s="64"/>
    </row>
    <row r="131" spans="1:7" ht="18" customHeight="1">
      <c r="A131" s="62">
        <v>89</v>
      </c>
      <c r="B131" s="67" t="s">
        <v>105</v>
      </c>
      <c r="C131" s="5">
        <v>1</v>
      </c>
      <c r="D131" s="2">
        <f>0.291*1000</f>
        <v>291</v>
      </c>
      <c r="E131" s="37">
        <f>115.211*1000</f>
        <v>115211</v>
      </c>
      <c r="F131" s="38">
        <f>93.17*1000</f>
        <v>93170</v>
      </c>
      <c r="G131" s="64"/>
    </row>
    <row r="132" spans="1:7" ht="18" customHeight="1">
      <c r="A132" s="7"/>
      <c r="B132" s="67"/>
      <c r="C132" s="15">
        <f>SUM(C129:C131)</f>
        <v>5</v>
      </c>
      <c r="D132" s="4">
        <f>SUM(D129:D131)</f>
        <v>1426</v>
      </c>
      <c r="E132" s="44">
        <f>SUM(E129:E131)</f>
        <v>552645</v>
      </c>
      <c r="F132" s="41">
        <f>SUM(F129:F131)</f>
        <v>516600</v>
      </c>
      <c r="G132" s="64" t="s">
        <v>18</v>
      </c>
    </row>
    <row r="133" spans="1:7" ht="18" customHeight="1">
      <c r="A133" s="7">
        <v>90</v>
      </c>
      <c r="B133" s="82" t="s">
        <v>106</v>
      </c>
      <c r="C133" s="7">
        <v>2</v>
      </c>
      <c r="D133" s="2">
        <f>(0.31+0.556)*1000</f>
        <v>866.00000000000011</v>
      </c>
      <c r="E133" s="37">
        <f>(179.242+220.08)*1000</f>
        <v>399322</v>
      </c>
      <c r="F133" s="38">
        <f>(160.26+196.96)*1000</f>
        <v>357220</v>
      </c>
      <c r="G133" s="67"/>
    </row>
    <row r="134" spans="1:7" ht="18" customHeight="1">
      <c r="A134" s="62">
        <v>91</v>
      </c>
      <c r="B134" s="82" t="s">
        <v>107</v>
      </c>
      <c r="C134" s="7">
        <v>1</v>
      </c>
      <c r="D134" s="2">
        <f>0.301*1000</f>
        <v>301</v>
      </c>
      <c r="E134" s="37">
        <f>114.682*1000</f>
        <v>114682</v>
      </c>
      <c r="F134" s="38">
        <f>103.65*1000</f>
        <v>103650</v>
      </c>
      <c r="G134" s="67"/>
    </row>
    <row r="135" spans="1:7" ht="18" customHeight="1">
      <c r="A135" s="62">
        <v>92</v>
      </c>
      <c r="B135" s="67" t="s">
        <v>108</v>
      </c>
      <c r="C135" s="5">
        <v>1</v>
      </c>
      <c r="D135" s="2">
        <f>0.337*1000</f>
        <v>337</v>
      </c>
      <c r="E135" s="37">
        <f>90.532*1000</f>
        <v>90532</v>
      </c>
      <c r="F135" s="38">
        <f>82.68*1000</f>
        <v>82680</v>
      </c>
      <c r="G135" s="67"/>
    </row>
    <row r="136" spans="1:7" ht="18" customHeight="1">
      <c r="A136" s="7">
        <v>93</v>
      </c>
      <c r="B136" s="82" t="s">
        <v>109</v>
      </c>
      <c r="C136" s="7">
        <v>2</v>
      </c>
      <c r="D136" s="2">
        <f>(0.3+0.31)*1000</f>
        <v>610</v>
      </c>
      <c r="E136" s="37">
        <f>(126.631+125.774)*1000</f>
        <v>252405</v>
      </c>
      <c r="F136" s="38">
        <f>(112.25+113.11)*1000</f>
        <v>225360</v>
      </c>
      <c r="G136" s="67"/>
    </row>
    <row r="137" spans="1:7" ht="18" customHeight="1">
      <c r="A137" s="62">
        <v>94</v>
      </c>
      <c r="B137" s="89" t="s">
        <v>110</v>
      </c>
      <c r="C137" s="5">
        <v>2</v>
      </c>
      <c r="D137" s="31">
        <f>3.58*1000</f>
        <v>3580</v>
      </c>
      <c r="E137" s="46">
        <f>612.79*1000</f>
        <v>612790</v>
      </c>
      <c r="F137" s="38">
        <f>(332.59+426.61)*1000</f>
        <v>759200</v>
      </c>
      <c r="G137" s="67"/>
    </row>
    <row r="138" spans="1:7" ht="18" customHeight="1">
      <c r="A138" s="62">
        <v>95</v>
      </c>
      <c r="B138" s="67" t="s">
        <v>111</v>
      </c>
      <c r="C138" s="5">
        <v>2</v>
      </c>
      <c r="D138" s="21">
        <f>(1.034+1.041)*1000</f>
        <v>2075</v>
      </c>
      <c r="E138" s="39">
        <f>(266.66+236.34)*1000</f>
        <v>503000</v>
      </c>
      <c r="F138" s="38">
        <f>(214.36+276.13)*1000</f>
        <v>490490</v>
      </c>
      <c r="G138" s="67"/>
    </row>
    <row r="139" spans="1:7" ht="18" customHeight="1">
      <c r="A139" s="7"/>
      <c r="B139" s="67"/>
      <c r="C139" s="15">
        <f>SUM(C133:C138)</f>
        <v>10</v>
      </c>
      <c r="D139" s="16">
        <f>SUM(D133:D138)</f>
        <v>7769</v>
      </c>
      <c r="E139" s="40">
        <f>SUM(E133:E138)</f>
        <v>1972731</v>
      </c>
      <c r="F139" s="41">
        <f>SUM(F133:F138)</f>
        <v>2018600</v>
      </c>
      <c r="G139" s="13" t="s">
        <v>20</v>
      </c>
    </row>
    <row r="140" spans="1:7" ht="18" customHeight="1">
      <c r="A140" s="62"/>
      <c r="B140" s="67"/>
      <c r="C140" s="22">
        <f>C132+C139</f>
        <v>15</v>
      </c>
      <c r="D140" s="16">
        <f>D132+D139</f>
        <v>9195</v>
      </c>
      <c r="E140" s="40">
        <f>E132+E139</f>
        <v>2525376</v>
      </c>
      <c r="F140" s="40">
        <f>F132+F139</f>
        <v>2535200</v>
      </c>
      <c r="G140" s="67"/>
    </row>
    <row r="141" spans="1:7" ht="18.75" customHeight="1">
      <c r="A141" s="7"/>
      <c r="B141" s="94"/>
      <c r="C141" s="23" t="s">
        <v>15</v>
      </c>
      <c r="D141" s="95"/>
      <c r="E141" s="95"/>
      <c r="F141" s="85"/>
      <c r="G141" s="86"/>
    </row>
    <row r="142" spans="1:7" ht="18" customHeight="1">
      <c r="A142" s="105">
        <v>96</v>
      </c>
      <c r="B142" s="67" t="s">
        <v>112</v>
      </c>
      <c r="C142" s="5">
        <v>2</v>
      </c>
      <c r="D142" s="2">
        <f>(0.283+0.283)*1000</f>
        <v>566</v>
      </c>
      <c r="E142" s="37">
        <f>(71.879+83.399)*1000</f>
        <v>155278.00000000003</v>
      </c>
      <c r="F142" s="30">
        <f>(84.23+92.73)*1000</f>
        <v>176960</v>
      </c>
      <c r="G142" s="64"/>
    </row>
    <row r="143" spans="1:7" ht="18" customHeight="1">
      <c r="A143" s="62">
        <v>97</v>
      </c>
      <c r="B143" s="67" t="s">
        <v>113</v>
      </c>
      <c r="C143" s="5">
        <v>1</v>
      </c>
      <c r="D143" s="2">
        <f>0.277*1000</f>
        <v>277</v>
      </c>
      <c r="E143" s="37">
        <f>101.572*1000</f>
        <v>101572</v>
      </c>
      <c r="F143" s="30">
        <f>107.92*1000</f>
        <v>107920</v>
      </c>
      <c r="G143" s="64"/>
    </row>
    <row r="144" spans="1:7" ht="18" customHeight="1">
      <c r="A144" s="105">
        <v>98</v>
      </c>
      <c r="B144" s="67" t="s">
        <v>114</v>
      </c>
      <c r="C144" s="5">
        <v>1</v>
      </c>
      <c r="D144" s="2">
        <f>0.279*1000</f>
        <v>279</v>
      </c>
      <c r="E144" s="37">
        <f>111.466*1000</f>
        <v>111466</v>
      </c>
      <c r="F144" s="30">
        <f>101.14*1000</f>
        <v>101140</v>
      </c>
      <c r="G144" s="64"/>
    </row>
    <row r="145" spans="1:7" ht="18" customHeight="1">
      <c r="A145" s="62">
        <v>99</v>
      </c>
      <c r="B145" s="67" t="s">
        <v>115</v>
      </c>
      <c r="C145" s="5">
        <v>1</v>
      </c>
      <c r="D145" s="2">
        <f>0.282*1000</f>
        <v>282</v>
      </c>
      <c r="E145" s="37">
        <f>93.548*1000</f>
        <v>93548</v>
      </c>
      <c r="F145" s="30">
        <f>103.84*1000</f>
        <v>103840</v>
      </c>
      <c r="G145" s="64"/>
    </row>
    <row r="146" spans="1:7" ht="18" customHeight="1">
      <c r="A146" s="62"/>
      <c r="B146" s="67"/>
      <c r="C146" s="15">
        <f>SUM(C142:C145)</f>
        <v>5</v>
      </c>
      <c r="D146" s="4">
        <f>SUM(D142:D145)</f>
        <v>1404</v>
      </c>
      <c r="E146" s="44">
        <f>SUM(E142:E145)</f>
        <v>461864</v>
      </c>
      <c r="F146" s="41">
        <f>SUM(F142:F145)</f>
        <v>489860</v>
      </c>
      <c r="G146" s="64" t="s">
        <v>18</v>
      </c>
    </row>
    <row r="147" spans="1:7" ht="18" customHeight="1">
      <c r="A147" s="62">
        <v>100</v>
      </c>
      <c r="B147" s="82" t="s">
        <v>116</v>
      </c>
      <c r="C147" s="7">
        <v>2</v>
      </c>
      <c r="D147" s="42">
        <f>(0.31+0.42)*1000</f>
        <v>730</v>
      </c>
      <c r="E147" s="37">
        <f>(103.454+122.763)*1000</f>
        <v>226216.99999999997</v>
      </c>
      <c r="F147" s="38">
        <f>(93.03+110.78)*1000</f>
        <v>203810</v>
      </c>
      <c r="G147" s="67"/>
    </row>
    <row r="148" spans="1:7" ht="18" customHeight="1">
      <c r="A148" s="62">
        <v>101</v>
      </c>
      <c r="B148" s="67" t="s">
        <v>117</v>
      </c>
      <c r="C148" s="5">
        <v>1</v>
      </c>
      <c r="D148" s="37">
        <f>0.62*1000</f>
        <v>620</v>
      </c>
      <c r="E148" s="37">
        <f>288.473*1000</f>
        <v>288473</v>
      </c>
      <c r="F148" s="38">
        <f>255.59*1000</f>
        <v>255590</v>
      </c>
      <c r="G148" s="67"/>
    </row>
    <row r="149" spans="1:7" ht="18" customHeight="1">
      <c r="A149" s="62">
        <v>102</v>
      </c>
      <c r="B149" s="89" t="s">
        <v>118</v>
      </c>
      <c r="C149" s="5">
        <v>1</v>
      </c>
      <c r="D149" s="37">
        <f>0.462*1000</f>
        <v>462</v>
      </c>
      <c r="E149" s="37">
        <f>199.317*1000</f>
        <v>199317</v>
      </c>
      <c r="F149" s="30">
        <f>178.75*1000</f>
        <v>178750</v>
      </c>
      <c r="G149" s="67"/>
    </row>
    <row r="150" spans="1:7" ht="18" customHeight="1">
      <c r="A150" s="62">
        <v>103</v>
      </c>
      <c r="B150" s="67" t="s">
        <v>119</v>
      </c>
      <c r="C150" s="5">
        <v>1</v>
      </c>
      <c r="D150" s="37">
        <f>0.518*1000</f>
        <v>518</v>
      </c>
      <c r="E150" s="37">
        <f>207.046*1000</f>
        <v>207046</v>
      </c>
      <c r="F150" s="30">
        <f>214.03*1000</f>
        <v>214030</v>
      </c>
      <c r="G150" s="67"/>
    </row>
    <row r="151" spans="1:7" ht="18" customHeight="1">
      <c r="A151" s="62">
        <v>104</v>
      </c>
      <c r="B151" s="67" t="s">
        <v>120</v>
      </c>
      <c r="C151" s="5">
        <v>1</v>
      </c>
      <c r="D151" s="37">
        <f>0.433*1000</f>
        <v>433</v>
      </c>
      <c r="E151" s="37">
        <f>202.239*1000</f>
        <v>202239</v>
      </c>
      <c r="F151" s="30">
        <f>179.85*1000</f>
        <v>179850</v>
      </c>
      <c r="G151" s="67"/>
    </row>
    <row r="152" spans="1:7" ht="18" customHeight="1">
      <c r="A152" s="62">
        <v>105</v>
      </c>
      <c r="B152" s="67" t="s">
        <v>121</v>
      </c>
      <c r="C152" s="5">
        <v>1</v>
      </c>
      <c r="D152" s="37">
        <f>0.3*1000</f>
        <v>300</v>
      </c>
      <c r="E152" s="37">
        <f>162.028*1000</f>
        <v>162028</v>
      </c>
      <c r="F152" s="30">
        <f>143.44*1000</f>
        <v>143440</v>
      </c>
      <c r="G152" s="14"/>
    </row>
    <row r="153" spans="1:7" ht="18" customHeight="1">
      <c r="A153" s="62">
        <v>106</v>
      </c>
      <c r="B153" s="89" t="s">
        <v>122</v>
      </c>
      <c r="C153" s="5">
        <v>1</v>
      </c>
      <c r="D153" s="37">
        <f>1.485*1000</f>
        <v>1485</v>
      </c>
      <c r="E153" s="37">
        <f>301.595*1000</f>
        <v>301595</v>
      </c>
      <c r="F153" s="30">
        <f>416.09*1000</f>
        <v>416090</v>
      </c>
      <c r="G153" s="67"/>
    </row>
    <row r="154" spans="1:7" ht="18" customHeight="1">
      <c r="A154" s="62">
        <v>107</v>
      </c>
      <c r="B154" s="67" t="s">
        <v>123</v>
      </c>
      <c r="C154" s="5">
        <v>1</v>
      </c>
      <c r="D154" s="37">
        <f>0.326*1000</f>
        <v>326</v>
      </c>
      <c r="E154" s="37">
        <f>100.401*1000</f>
        <v>100401</v>
      </c>
      <c r="F154" s="30">
        <f>90.16*1000</f>
        <v>90160</v>
      </c>
      <c r="G154" s="67"/>
    </row>
    <row r="155" spans="1:7" ht="18" customHeight="1">
      <c r="A155" s="62"/>
      <c r="B155" s="67"/>
      <c r="C155" s="15">
        <f>SUM(C147:C154)</f>
        <v>9</v>
      </c>
      <c r="D155" s="44">
        <f>SUM(D147:D154)</f>
        <v>4874</v>
      </c>
      <c r="E155" s="44">
        <f>SUM(E147:E154)</f>
        <v>1687316</v>
      </c>
      <c r="F155" s="45">
        <f>SUM(F147:F154)</f>
        <v>1681720</v>
      </c>
      <c r="G155" s="13" t="s">
        <v>20</v>
      </c>
    </row>
    <row r="156" spans="1:7" ht="18" customHeight="1">
      <c r="A156" s="62"/>
      <c r="B156" s="67"/>
      <c r="C156" s="22">
        <f>C146+C155</f>
        <v>14</v>
      </c>
      <c r="D156" s="40">
        <f>D146+D155</f>
        <v>6278</v>
      </c>
      <c r="E156" s="40">
        <f>E146+E155</f>
        <v>2149180</v>
      </c>
      <c r="F156" s="40">
        <f>F146+F155</f>
        <v>2171580</v>
      </c>
      <c r="G156" s="67"/>
    </row>
    <row r="157" spans="1:7" ht="18" customHeight="1">
      <c r="A157" s="62"/>
      <c r="B157" s="90"/>
      <c r="C157" s="23" t="s">
        <v>16</v>
      </c>
      <c r="D157" s="80"/>
      <c r="E157" s="80"/>
      <c r="F157" s="80"/>
      <c r="G157" s="81"/>
    </row>
    <row r="158" spans="1:7" ht="18" customHeight="1">
      <c r="A158" s="62">
        <v>108</v>
      </c>
      <c r="B158" s="67" t="s">
        <v>124</v>
      </c>
      <c r="C158" s="5">
        <v>1</v>
      </c>
      <c r="D158" s="2">
        <f>0.356*1000</f>
        <v>356</v>
      </c>
      <c r="E158" s="37">
        <f>118.486*1000</f>
        <v>118486</v>
      </c>
      <c r="F158" s="38">
        <f>121.03*1000</f>
        <v>121030</v>
      </c>
      <c r="G158" s="64"/>
    </row>
    <row r="159" spans="1:7" ht="18" customHeight="1">
      <c r="A159" s="62">
        <v>109</v>
      </c>
      <c r="B159" s="106" t="s">
        <v>125</v>
      </c>
      <c r="C159" s="7">
        <v>2</v>
      </c>
      <c r="D159" s="2">
        <f>(0.264+0.264)*1000</f>
        <v>528</v>
      </c>
      <c r="E159" s="37">
        <f>(81.759+83.318)*1000</f>
        <v>165077</v>
      </c>
      <c r="F159" s="38">
        <f>(102.89+110.3)*1000</f>
        <v>213190</v>
      </c>
      <c r="G159" s="64"/>
    </row>
    <row r="160" spans="1:7" ht="18" customHeight="1">
      <c r="A160" s="62">
        <v>110</v>
      </c>
      <c r="B160" s="67" t="s">
        <v>126</v>
      </c>
      <c r="C160" s="5">
        <v>2</v>
      </c>
      <c r="D160" s="2">
        <f>(0.284+0.284)*1000</f>
        <v>568</v>
      </c>
      <c r="E160" s="37">
        <f>(85.376+82.178)*1000</f>
        <v>167554</v>
      </c>
      <c r="F160" s="38">
        <f>(87.85+84.58)*1000</f>
        <v>172430</v>
      </c>
      <c r="G160" s="64"/>
    </row>
    <row r="161" spans="1:7" ht="18" customHeight="1">
      <c r="A161" s="62"/>
      <c r="B161" s="67"/>
      <c r="C161" s="15">
        <f>SUM(C158:C160)</f>
        <v>5</v>
      </c>
      <c r="D161" s="4">
        <f>SUM(D158:D160)</f>
        <v>1452</v>
      </c>
      <c r="E161" s="44">
        <f>SUM(E158:E160)</f>
        <v>451117</v>
      </c>
      <c r="F161" s="41">
        <f>SUM(F158:F160)</f>
        <v>506650</v>
      </c>
      <c r="G161" s="64" t="s">
        <v>18</v>
      </c>
    </row>
    <row r="162" spans="1:7" ht="18" customHeight="1">
      <c r="A162" s="62">
        <v>111</v>
      </c>
      <c r="B162" s="89" t="s">
        <v>127</v>
      </c>
      <c r="C162" s="5">
        <v>2</v>
      </c>
      <c r="D162" s="37">
        <f>(0.455+0.322)*1000</f>
        <v>777</v>
      </c>
      <c r="E162" s="37">
        <f>(142.805+104.251)*1000</f>
        <v>247056</v>
      </c>
      <c r="F162" s="38">
        <f>(129.21+94.11)*1000</f>
        <v>223320</v>
      </c>
      <c r="G162" s="67"/>
    </row>
    <row r="163" spans="1:7" ht="18" customHeight="1">
      <c r="A163" s="105">
        <v>112</v>
      </c>
      <c r="B163" s="71" t="s">
        <v>128</v>
      </c>
      <c r="C163" s="48">
        <v>2</v>
      </c>
      <c r="D163" s="37">
        <f>(0.507+0.597)*1000</f>
        <v>1104</v>
      </c>
      <c r="E163" s="37">
        <f>(115.276+123.435)*1000</f>
        <v>238711</v>
      </c>
      <c r="F163" s="49">
        <f>(103.74+110.89)*1000</f>
        <v>214630</v>
      </c>
      <c r="G163" s="71"/>
    </row>
    <row r="164" spans="1:7" ht="18" customHeight="1">
      <c r="A164" s="62">
        <v>113</v>
      </c>
      <c r="B164" s="82" t="s">
        <v>23</v>
      </c>
      <c r="C164" s="7">
        <v>1</v>
      </c>
      <c r="D164" s="37">
        <f>0.501*1000</f>
        <v>501</v>
      </c>
      <c r="E164" s="37">
        <f>212.66*1000</f>
        <v>212660</v>
      </c>
      <c r="F164" s="38">
        <f>185.09*1000</f>
        <v>185090</v>
      </c>
      <c r="G164" s="67"/>
    </row>
    <row r="165" spans="1:7" ht="18" customHeight="1">
      <c r="A165" s="105">
        <v>114</v>
      </c>
      <c r="B165" s="89" t="s">
        <v>129</v>
      </c>
      <c r="C165" s="5">
        <v>1</v>
      </c>
      <c r="D165" s="37">
        <f>0.487*1000</f>
        <v>487</v>
      </c>
      <c r="E165" s="37">
        <f>117.357*1000</f>
        <v>117357</v>
      </c>
      <c r="F165" s="38">
        <f>106.33*1000</f>
        <v>106330</v>
      </c>
      <c r="G165" s="67"/>
    </row>
    <row r="166" spans="1:7" ht="18" customHeight="1">
      <c r="A166" s="62">
        <v>115</v>
      </c>
      <c r="B166" s="67" t="s">
        <v>130</v>
      </c>
      <c r="C166" s="5">
        <v>1</v>
      </c>
      <c r="D166" s="37">
        <f>0.34*1000</f>
        <v>340</v>
      </c>
      <c r="E166" s="37">
        <f>118.918*1000</f>
        <v>118918</v>
      </c>
      <c r="F166" s="38">
        <f>168.48*1000</f>
        <v>168480</v>
      </c>
      <c r="G166" s="67"/>
    </row>
    <row r="167" spans="1:7" ht="18" customHeight="1">
      <c r="A167" s="62"/>
      <c r="B167" s="67"/>
      <c r="C167" s="15">
        <f>SUM(C162:C166)</f>
        <v>7</v>
      </c>
      <c r="D167" s="44">
        <f>SUM(D162:D166)</f>
        <v>3209</v>
      </c>
      <c r="E167" s="44">
        <f>SUM(E162:E166)</f>
        <v>934702</v>
      </c>
      <c r="F167" s="41">
        <f>SUM(F162:F166)</f>
        <v>897850</v>
      </c>
      <c r="G167" s="13" t="s">
        <v>20</v>
      </c>
    </row>
    <row r="168" spans="1:7" ht="18" customHeight="1">
      <c r="A168" s="62"/>
      <c r="B168" s="67"/>
      <c r="C168" s="22">
        <f>C161+C167</f>
        <v>12</v>
      </c>
      <c r="D168" s="40">
        <f>D161+D167</f>
        <v>4661</v>
      </c>
      <c r="E168" s="40">
        <f>E161+E167</f>
        <v>1385819</v>
      </c>
      <c r="F168" s="40">
        <f>F161+F167</f>
        <v>1404500</v>
      </c>
      <c r="G168" s="67"/>
    </row>
    <row r="169" spans="1:7" ht="18" customHeight="1">
      <c r="A169" s="62"/>
      <c r="B169" s="107" t="s">
        <v>14</v>
      </c>
      <c r="C169" s="22">
        <f>C168+C156+C140+C127+C112+C99+C86+C74+C61+C49+C34+C19</f>
        <v>170</v>
      </c>
      <c r="D169" s="40">
        <f>D168+D156+D140+D127+D112+D99+D86+D74+D61+D49+D34+D19</f>
        <v>96680</v>
      </c>
      <c r="E169" s="40">
        <f>E19+E34+E49+E61+E74+E86+E99+E112+E127+E140+E156+E168</f>
        <v>28198423</v>
      </c>
      <c r="F169" s="40">
        <f>F168+F156+F140+F127+F112+F99+F86+F74+F61+F49+F34+F19</f>
        <v>27681403.91</v>
      </c>
      <c r="G169" s="67"/>
    </row>
    <row r="170" spans="1:7" ht="18" customHeight="1">
      <c r="A170" s="108"/>
      <c r="B170" s="108"/>
      <c r="C170" s="108"/>
      <c r="D170" s="108"/>
      <c r="E170" s="108"/>
      <c r="F170" s="108"/>
      <c r="G170" s="108"/>
    </row>
    <row r="171" spans="1:7" ht="13.5" customHeight="1">
      <c r="A171" s="108"/>
      <c r="B171" s="108"/>
      <c r="C171" s="108"/>
      <c r="D171" s="108"/>
      <c r="E171" s="108"/>
      <c r="F171" s="108"/>
      <c r="G171" s="108"/>
    </row>
    <row r="172" spans="1:7" ht="15.75" customHeight="1">
      <c r="A172" s="108"/>
      <c r="B172" s="108"/>
      <c r="C172" s="108"/>
      <c r="D172" s="108"/>
      <c r="E172" s="108"/>
      <c r="F172" s="108"/>
      <c r="G172" s="108"/>
    </row>
    <row r="173" spans="1:7" ht="28.5" customHeight="1">
      <c r="A173" s="109"/>
      <c r="B173" s="109"/>
      <c r="C173" s="109"/>
      <c r="D173" s="109"/>
      <c r="E173" s="109"/>
      <c r="F173" s="109"/>
      <c r="G173" s="109"/>
    </row>
    <row r="174" spans="1:7" ht="28.5" customHeight="1">
      <c r="A174" s="109"/>
      <c r="B174" s="109"/>
      <c r="C174" s="109"/>
      <c r="D174" s="109"/>
      <c r="E174" s="109"/>
      <c r="F174" s="109"/>
      <c r="G174" s="109"/>
    </row>
    <row r="175" spans="1:7" ht="14.25" customHeight="1">
      <c r="A175" s="109"/>
      <c r="B175" s="109"/>
      <c r="C175" s="109"/>
      <c r="D175" s="109"/>
      <c r="E175" s="109"/>
      <c r="F175" s="109"/>
    </row>
    <row r="176" spans="1:7" ht="20.25" customHeight="1">
      <c r="A176" s="109"/>
      <c r="B176" s="109"/>
    </row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  <row r="194" ht="28.5" customHeight="1"/>
    <row r="195" ht="28.5" customHeight="1"/>
    <row r="196" ht="28.5" customHeight="1"/>
    <row r="197" ht="28.5" customHeight="1"/>
    <row r="198" ht="28.5" customHeight="1"/>
    <row r="199" ht="28.5" customHeight="1"/>
    <row r="200" ht="28.5" customHeight="1"/>
    <row r="201" ht="28.5" customHeight="1"/>
    <row r="202" ht="28.5" customHeight="1"/>
    <row r="203" ht="28.5" customHeight="1"/>
    <row r="204" ht="28.5" customHeight="1"/>
    <row r="205" ht="28.5" customHeight="1"/>
    <row r="206" ht="28.5" customHeight="1"/>
    <row r="207" ht="28.5" customHeight="1"/>
    <row r="208" ht="28.5" customHeight="1"/>
    <row r="209" ht="28.5" customHeight="1"/>
    <row r="210" ht="28.5" customHeight="1"/>
    <row r="211" ht="28.5" customHeight="1"/>
    <row r="212" ht="28.5" customHeight="1"/>
    <row r="213" ht="28.5" customHeight="1"/>
    <row r="214" ht="28.5" customHeight="1"/>
    <row r="215" ht="28.5" customHeight="1"/>
    <row r="216" ht="28.5" customHeight="1"/>
    <row r="217" ht="28.5" customHeight="1"/>
    <row r="218" ht="28.5" customHeight="1"/>
    <row r="219" ht="28.5" customHeight="1"/>
    <row r="220" ht="28.5" customHeight="1"/>
    <row r="221" ht="28.5" customHeight="1"/>
    <row r="222" ht="28.5" customHeight="1"/>
    <row r="223" ht="28.5" customHeight="1"/>
    <row r="224" ht="28.5" customHeight="1"/>
    <row r="225" ht="28.5" customHeight="1"/>
    <row r="226" ht="28.5" customHeight="1"/>
    <row r="227" ht="28.5" customHeight="1"/>
    <row r="228" ht="28.5" customHeight="1"/>
    <row r="229" ht="28.5" customHeight="1"/>
    <row r="230" ht="28.5" customHeight="1"/>
    <row r="231" ht="28.5" customHeight="1"/>
    <row r="232" ht="28.5" customHeight="1"/>
    <row r="233" ht="28.5" customHeight="1"/>
    <row r="234" ht="28.5" customHeight="1"/>
    <row r="235" ht="28.5" customHeight="1"/>
    <row r="236" ht="28.5" customHeight="1"/>
    <row r="237" ht="28.5" customHeight="1"/>
    <row r="238" ht="28.5" customHeight="1"/>
    <row r="239" ht="28.5" customHeight="1"/>
    <row r="240" ht="28.5" customHeight="1"/>
    <row r="241" ht="28.5" customHeight="1"/>
    <row r="242" ht="28.5" customHeight="1"/>
    <row r="243" ht="28.5" customHeight="1"/>
    <row r="244" ht="28.5" customHeight="1"/>
    <row r="245" ht="28.5" customHeight="1"/>
    <row r="246" ht="28.5" customHeight="1"/>
    <row r="247" ht="28.5" customHeight="1"/>
    <row r="248" ht="28.5" customHeight="1"/>
    <row r="249" ht="28.5" customHeight="1"/>
    <row r="250" ht="28.5" customHeight="1"/>
    <row r="251" ht="28.5" customHeight="1"/>
    <row r="252" ht="28.5" customHeight="1"/>
    <row r="253" ht="28.5" customHeight="1"/>
    <row r="254" ht="28.5" customHeight="1"/>
    <row r="255" ht="28.5" customHeight="1"/>
    <row r="256" ht="28.5" customHeight="1"/>
    <row r="257" ht="28.5" customHeight="1"/>
    <row r="258" ht="28.5" customHeight="1"/>
    <row r="259" ht="28.5" customHeight="1"/>
    <row r="260" ht="28.5" customHeight="1"/>
    <row r="261" ht="28.5" customHeight="1"/>
    <row r="262" ht="28.5" customHeight="1"/>
  </sheetData>
  <mergeCells count="14">
    <mergeCell ref="B2:G2"/>
    <mergeCell ref="A176:B176"/>
    <mergeCell ref="A127:B127"/>
    <mergeCell ref="A3:G3"/>
    <mergeCell ref="C5:D5"/>
    <mergeCell ref="B5:B6"/>
    <mergeCell ref="A5:A6"/>
    <mergeCell ref="F5:F6"/>
    <mergeCell ref="G5:G6"/>
    <mergeCell ref="E5:E6"/>
    <mergeCell ref="A112:B112"/>
    <mergeCell ref="A170:G172"/>
    <mergeCell ref="A173:G174"/>
    <mergeCell ref="A175:F175"/>
  </mergeCells>
  <pageMargins left="0.62992125984251968" right="0.23622047244094491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2015-04-07T13:25:11Z</dcterms:modified>
</cp:coreProperties>
</file>