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2" activeTab="0"/>
  </bookViews>
  <sheets>
    <sheet name="ф. комитета план 2017 по кварт" sheetId="1" r:id="rId1"/>
    <sheet name="ф. комитета план 16 и  на 17" sheetId="2" r:id="rId2"/>
    <sheet name="план на 2017год по кварталам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<sst xmlns="http://schemas.openxmlformats.org/spreadsheetml/2006/main" count="492" uniqueCount="264">
  <si>
    <t xml:space="preserve">Решением Совета директоров </t>
  </si>
  <si>
    <t>ООО «ЖКС №1  Василеостровского района»</t>
  </si>
  <si>
    <t>№ п/п</t>
  </si>
  <si>
    <t>Показатели</t>
  </si>
  <si>
    <t>план</t>
  </si>
  <si>
    <t>Выручка (без НДС), в т.ч.</t>
  </si>
  <si>
    <t>1.1.1.</t>
  </si>
  <si>
    <t>Доходы от оказания услуг собственникам и арендаторам по договорам управления  (за исключением платы за коммунальные услуги), ЖСК и ТСЖ</t>
  </si>
  <si>
    <t>1.1.2.</t>
  </si>
  <si>
    <t>управление многоквартирным домом</t>
  </si>
  <si>
    <t>1.1.3.</t>
  </si>
  <si>
    <t>содержание общего имущества в многоквартирном доме</t>
  </si>
  <si>
    <t>1.1.4.</t>
  </si>
  <si>
    <t>текущий ремонт в многоквартирном доме</t>
  </si>
  <si>
    <t>1.1.5.</t>
  </si>
  <si>
    <t>уборка и санитарная очистка земельного участка</t>
  </si>
  <si>
    <t>1.1.6.</t>
  </si>
  <si>
    <t>очистка мусоропроводов</t>
  </si>
  <si>
    <t>1.1.7.</t>
  </si>
  <si>
    <t>содержание и ремонт ПЗУ</t>
  </si>
  <si>
    <t>1.1.8.</t>
  </si>
  <si>
    <t>содержание и ремонт АППЗ</t>
  </si>
  <si>
    <t>1.1.9.</t>
  </si>
  <si>
    <t>содержание и текущий ремонт внутридомовых систем газоснабжения</t>
  </si>
  <si>
    <t>1.1.10.</t>
  </si>
  <si>
    <t>содержание и ремонт лифтов</t>
  </si>
  <si>
    <t>1.1.11.</t>
  </si>
  <si>
    <t>эксплуатация приборов учета</t>
  </si>
  <si>
    <t>1.1.12.</t>
  </si>
  <si>
    <t>повышающий коэффициент по ИПУ</t>
  </si>
  <si>
    <t>1.2.</t>
  </si>
  <si>
    <t>Прочие суммы доходов, в т.ч.</t>
  </si>
  <si>
    <t>1.2.1.</t>
  </si>
  <si>
    <t>физическим лицам</t>
  </si>
  <si>
    <t>1.2.2.</t>
  </si>
  <si>
    <t>юридическим лицам</t>
  </si>
  <si>
    <t>2.</t>
  </si>
  <si>
    <t>Себестоимость</t>
  </si>
  <si>
    <t>2.1.</t>
  </si>
  <si>
    <t xml:space="preserve">Оплата труда и начисления на оплату труда </t>
  </si>
  <si>
    <t>2.2.</t>
  </si>
  <si>
    <t>Материалы</t>
  </si>
  <si>
    <t>2.3.</t>
  </si>
  <si>
    <t>Транспортные расходы</t>
  </si>
  <si>
    <t>2.4.</t>
  </si>
  <si>
    <t>Амортизация</t>
  </si>
  <si>
    <t>2.5.</t>
  </si>
  <si>
    <t>2.6.</t>
  </si>
  <si>
    <t xml:space="preserve">Работы, выполняемые подрядными и специализированными </t>
  </si>
  <si>
    <t>2.6.1.</t>
  </si>
  <si>
    <t>Содержание и ремонт внутридомовых систем газоснабжения</t>
  </si>
  <si>
    <t>2.6.2.</t>
  </si>
  <si>
    <t>подрядчики по  текущему ремонту</t>
  </si>
  <si>
    <t>2.6.3.</t>
  </si>
  <si>
    <t>Вывоз бытовых отходов</t>
  </si>
  <si>
    <t>2.6.4.</t>
  </si>
  <si>
    <t>Комплексное техническое обслуживание лифтов, техническая экспертиза лифтов</t>
  </si>
  <si>
    <t>2.6.5.</t>
  </si>
  <si>
    <t>Прочие организации</t>
  </si>
  <si>
    <t>2.7.</t>
  </si>
  <si>
    <t>Прочие суммы расходов</t>
  </si>
  <si>
    <t>Валовая прибыль  (убыток) (стр. 1 – стр. 2)</t>
  </si>
  <si>
    <t xml:space="preserve">Коммерческие расходы </t>
  </si>
  <si>
    <t>Управленческие расходы( з/плата АУП с налогами,общехозяйственные расходы, приобретение и содержание оргтехники, мебели, обучение сотрудников, сопровождение программного обеспечения и т.д.)</t>
  </si>
  <si>
    <t>Прибыль (убыток) от продаж (стр. 3 - стр. 4 - стр. 5)</t>
  </si>
  <si>
    <t xml:space="preserve">Проценты к получению </t>
  </si>
  <si>
    <t xml:space="preserve">Проценты к уплате </t>
  </si>
  <si>
    <t xml:space="preserve">Прочие доходы </t>
  </si>
  <si>
    <t>9.1.</t>
  </si>
  <si>
    <t>Субсидии (возврат НДС по кр)</t>
  </si>
  <si>
    <t>9.2.</t>
  </si>
  <si>
    <t>Пени, госпошлина</t>
  </si>
  <si>
    <t>9.3.</t>
  </si>
  <si>
    <t>Прочие суммы доходов,</t>
  </si>
  <si>
    <t xml:space="preserve">Прочие расходы </t>
  </si>
  <si>
    <t>10.1.</t>
  </si>
  <si>
    <t xml:space="preserve">Пени, штрафы, возмещение ущерба, </t>
  </si>
  <si>
    <t>10.2.</t>
  </si>
  <si>
    <t xml:space="preserve">Услуги банка, </t>
  </si>
  <si>
    <t>10.3.</t>
  </si>
  <si>
    <t>Непроизводственные расходы</t>
  </si>
  <si>
    <t>10.4.</t>
  </si>
  <si>
    <t>Прибыль (убыток) до налогообложения  (стр. 6 + стр. 7 - стр. 8 + стр. 9 - стр. 10)</t>
  </si>
  <si>
    <t>Текущий налог на прибыль</t>
  </si>
  <si>
    <t>Прочие (изменение отлаженных налоговых активов, изменение отложенных налоговых обязательств)</t>
  </si>
  <si>
    <t>Чистая прибыль (убыток) (стр. 11 - стр. 12 - стр. 13)</t>
  </si>
  <si>
    <t>Коммунальные услуги</t>
  </si>
  <si>
    <t>9 месяцев</t>
  </si>
  <si>
    <t>год</t>
  </si>
  <si>
    <t>Доходы от плата за коммунальные услуги*</t>
  </si>
  <si>
    <t>1.1.</t>
  </si>
  <si>
    <t>холодное водоснабжение</t>
  </si>
  <si>
    <t>водоотведение</t>
  </si>
  <si>
    <t>1.3.</t>
  </si>
  <si>
    <t>горячее водоснабжение</t>
  </si>
  <si>
    <t>1.4.</t>
  </si>
  <si>
    <t>отопление</t>
  </si>
  <si>
    <t>1.6.</t>
  </si>
  <si>
    <t>электроснабжение</t>
  </si>
  <si>
    <t>Расходы за коммунальные услуги* по счетам РСО</t>
  </si>
  <si>
    <t xml:space="preserve">Генеральный директор </t>
  </si>
  <si>
    <t>Главный бухгалтер</t>
  </si>
  <si>
    <t>ООО «ЖКС №1 Василеостровского района»</t>
  </si>
  <si>
    <t>Справочно:</t>
  </si>
  <si>
    <t>Стоимость выполнения утвержденной адресной программы текущего ремонта жилищного фонда (С НДС), в т.ч.</t>
  </si>
  <si>
    <t>выполнение работ без привлечения подрядных организаций (своими силами)</t>
  </si>
  <si>
    <t>с привлечением подрядных организаций</t>
  </si>
  <si>
    <t>2017год</t>
  </si>
  <si>
    <t>физическим лицам (платные услуги населению)</t>
  </si>
  <si>
    <t>Спецодежда</t>
  </si>
  <si>
    <t>Списание МЦ</t>
  </si>
  <si>
    <t>Обучение рабочих</t>
  </si>
  <si>
    <t>Охрана труда</t>
  </si>
  <si>
    <t>Тех. обслуж. газового оборудования</t>
  </si>
  <si>
    <t>Текущий ремонт(подрядчики)</t>
  </si>
  <si>
    <t>Текущее содержание(подрядчики)</t>
  </si>
  <si>
    <t>Техн.обслуж. Лифтов (КТО и АВР)</t>
  </si>
  <si>
    <t>Техн.освид. Лифтов (диагностика)</t>
  </si>
  <si>
    <t>Экспертиза лифтов (оценка соот.)</t>
  </si>
  <si>
    <t>Страхование лифтов</t>
  </si>
  <si>
    <t>Дератизация, дезинсекция</t>
  </si>
  <si>
    <t>Вывоз мусора</t>
  </si>
  <si>
    <t>Тех. обслуживание вент. каналов</t>
  </si>
  <si>
    <t>Измерение сопр.изоляции</t>
  </si>
  <si>
    <t>Тех. обслуживание ПЗУ</t>
  </si>
  <si>
    <t>Тех. обслуживание АППЗ</t>
  </si>
  <si>
    <t>Замена хим.патронов,поверка</t>
  </si>
  <si>
    <t xml:space="preserve"> Аренда техники</t>
  </si>
  <si>
    <t>Удален. с кровли и карниз. снега и наледи</t>
  </si>
  <si>
    <t>Противопожарная система</t>
  </si>
  <si>
    <t>Перемеш. и хранен. инерт. мат.</t>
  </si>
  <si>
    <t>Прочие услуги</t>
  </si>
  <si>
    <t>Обслуживание теплоцентров, узл.теплоучета</t>
  </si>
  <si>
    <t>Расход материалов</t>
  </si>
  <si>
    <t>Ремонт ОС</t>
  </si>
  <si>
    <t>Амортизация ОС</t>
  </si>
  <si>
    <t>Страхование</t>
  </si>
  <si>
    <t xml:space="preserve"> Водопотребление, В/о</t>
  </si>
  <si>
    <t>Теплоэнергия</t>
  </si>
  <si>
    <t>Электроэнергия</t>
  </si>
  <si>
    <t>Налоги на зарплату</t>
  </si>
  <si>
    <t>Зарплата</t>
  </si>
  <si>
    <t>ЕСН (Налоги на з/плату)</t>
  </si>
  <si>
    <t>Аммортизация ОС</t>
  </si>
  <si>
    <t>Бланки</t>
  </si>
  <si>
    <t>Канцелярские расходы</t>
  </si>
  <si>
    <t>Обслуживание ККМ</t>
  </si>
  <si>
    <t>Обслуживание копировальной техники</t>
  </si>
  <si>
    <t>Обучение</t>
  </si>
  <si>
    <t>Офисные расходы (картриджи)</t>
  </si>
  <si>
    <t>Охрана</t>
  </si>
  <si>
    <t>Пользование телефоном</t>
  </si>
  <si>
    <t>Почтовые расходы</t>
  </si>
  <si>
    <t>Проездные карточки</t>
  </si>
  <si>
    <t>Прочие</t>
  </si>
  <si>
    <t>Расходы на эл.торги</t>
  </si>
  <si>
    <t>Сопровождение компъют.программ</t>
  </si>
  <si>
    <t>Услуги связи</t>
  </si>
  <si>
    <t>Хозяйственные расходы</t>
  </si>
  <si>
    <t>Промывка фасадов</t>
  </si>
  <si>
    <t xml:space="preserve">Вывоз снега </t>
  </si>
  <si>
    <t>Заработная плата</t>
  </si>
  <si>
    <t>Ремонт служебных помещений</t>
  </si>
  <si>
    <t>январь</t>
  </si>
  <si>
    <t>6 мес</t>
  </si>
  <si>
    <t>июль</t>
  </si>
  <si>
    <t>новый тариф</t>
  </si>
  <si>
    <t>Энергосбережение</t>
  </si>
  <si>
    <t xml:space="preserve">1 квартал </t>
  </si>
  <si>
    <t>полугодие</t>
  </si>
  <si>
    <t>Услуги ВЦКП,Петроэлектросбыт,Почта</t>
  </si>
  <si>
    <t>Финансовый  план  деятельности ООО «ЖКС № 1 Василеостровского                             района» на   2017г. с расшифровкой по кварталам.</t>
  </si>
  <si>
    <t>фот был</t>
  </si>
  <si>
    <t>ФОТ стал</t>
  </si>
  <si>
    <t>Прочие доходы</t>
  </si>
  <si>
    <t>Прочие расходы</t>
  </si>
  <si>
    <t>Управленческие расходы(з/плата АУП с налогами,общехозяйственные расходы, приобретение и содержание оргтехники, мебели, обучение сотрудников, сопровождение программного обеспечения и т.д.)</t>
  </si>
  <si>
    <t>план на 2017год</t>
  </si>
  <si>
    <t>ПЛАН</t>
  </si>
  <si>
    <t>с НДС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</si>
  <si>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</si>
  <si>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</si>
  <si>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</si>
  <si>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</si>
  <si>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</si>
  <si>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</si>
  <si>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</si>
  <si>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</si>
  <si>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</si>
  <si>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2.16.1.</t>
  </si>
  <si>
    <t>2.16.2.</t>
  </si>
  <si>
    <t>2.16.3.</t>
  </si>
  <si>
    <t>2.16.4</t>
  </si>
  <si>
    <t>2.16.5</t>
  </si>
  <si>
    <t>2.16.6.</t>
  </si>
  <si>
    <t>2.16.7.</t>
  </si>
  <si>
    <t>2.16.8.</t>
  </si>
  <si>
    <t>2.16.9.</t>
  </si>
  <si>
    <t>2.16.10</t>
  </si>
  <si>
    <t>2.16.11.</t>
  </si>
  <si>
    <t>2.16.12</t>
  </si>
  <si>
    <t>2.16.13.</t>
  </si>
  <si>
    <t>2.16.14.</t>
  </si>
  <si>
    <t>2.16.15.</t>
  </si>
  <si>
    <t>2.16.16.</t>
  </si>
  <si>
    <t>2.16.17.</t>
  </si>
  <si>
    <t>2.16.18.</t>
  </si>
  <si>
    <t>2.16.19.</t>
  </si>
  <si>
    <t>2.16.20.</t>
  </si>
  <si>
    <t>2.16.21.</t>
  </si>
  <si>
    <t>2.16.22.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</si>
  <si>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</si>
  <si>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</si>
  <si>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</si>
  <si>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</si>
  <si>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</si>
  <si>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</si>
  <si>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</si>
  <si>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</si>
  <si>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</si>
  <si>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</si>
  <si>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</si>
  <si>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</si>
  <si>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</si>
  <si>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</si>
  <si>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</si>
  <si>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</si>
  <si>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</si>
  <si>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</si>
  <si>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</si>
  <si>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</si>
  <si>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</si>
  <si>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</si>
  <si>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Исполнитель:</t>
  </si>
  <si>
    <t>Начальник ПДО</t>
  </si>
  <si>
    <t>Т.Б.Блиндюк</t>
  </si>
  <si>
    <t>от «25» апреля  2017 г. Протокол № 36</t>
  </si>
  <si>
    <t>___________________/Ю.П. Матвеев/</t>
  </si>
  <si>
    <t>Генеральный директор</t>
  </si>
  <si>
    <t>Ю.П. Матвеев</t>
  </si>
  <si>
    <t xml:space="preserve">  Финансовый план ООО «ЖКС № 1 Василеостровского района»  на 2017г.</t>
  </si>
  <si>
    <t xml:space="preserve">  Финансовый план ООО «ЖКС № 1 Василеостровского района»       на 2017г.</t>
  </si>
  <si>
    <t>___________________________О.Е. Денисова</t>
  </si>
  <si>
    <t>___________________________/Ю.П. Матвеев/</t>
  </si>
  <si>
    <t>"Утвержден"</t>
  </si>
  <si>
    <t>"Согласовано"</t>
  </si>
  <si>
    <t>Председатель Совета директоров</t>
  </si>
  <si>
    <t>__________________/А.Ю.Маслов/</t>
  </si>
  <si>
    <t>аренда</t>
  </si>
  <si>
    <t>ЖСК ,ТСЖ</t>
  </si>
  <si>
    <t>годовой</t>
  </si>
  <si>
    <t>С НДС</t>
  </si>
  <si>
    <t>без НДС</t>
  </si>
  <si>
    <t>______________/O.E. Денисова</t>
  </si>
  <si>
    <t>_____________/А.Ю.Маслов/</t>
  </si>
  <si>
    <t>1.5.</t>
  </si>
  <si>
    <t>1.7.</t>
  </si>
  <si>
    <t>1.8.</t>
  </si>
  <si>
    <t>1.9.</t>
  </si>
  <si>
    <t>1.10.</t>
  </si>
  <si>
    <t>1.11.</t>
  </si>
  <si>
    <t>1.12.</t>
  </si>
  <si>
    <t>квартал</t>
  </si>
  <si>
    <t>3 месяца с июля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</si>
</sst>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#,##0.0_ ;[Red]\-#,##0.0\ "/>
    <numFmt numFmtId="190" formatCode="#,##0_ ;[Red]\-#,##0\ "/>
    <numFmt numFmtId="191" formatCode="0.0"/>
    <numFmt numFmtId="192" formatCode="#,##0.00;[Red]\-#,##0.00;\-"/>
    <numFmt numFmtId="193" formatCode="#,##0;\-#,##0;\-"/>
    <numFmt numFmtId="194" formatCode="#,##0.0;[Red]\-#,##0.0;\-"/>
    <numFmt numFmtId="195" formatCode="_-* #,##0.0_р_._-;\-* #,##0.0_р_._-;_-* &quot;-&quot;?_р_._-;_-@_-"/>
    <numFmt numFmtId="196" formatCode="#,##0.000_ ;[Red]\-#,##0.000\ "/>
    <numFmt numFmtId="197" formatCode="0.0%"/>
    <numFmt numFmtId="198" formatCode="0.000000"/>
    <numFmt numFmtId="199" formatCode="0.00000"/>
    <numFmt numFmtId="200" formatCode="0.0000"/>
    <numFmt numFmtId="201" formatCode="0.000"/>
    <numFmt numFmtId="202" formatCode="0.0000000"/>
    <numFmt numFmtId="203" formatCode="#,##0.0"/>
    <numFmt numFmtId="204" formatCode="0.0000000000"/>
    <numFmt numFmtId="205" formatCode="0.00000000000"/>
    <numFmt numFmtId="206" formatCode="0.000000000000"/>
    <numFmt numFmtId="207" formatCode="0.000000000"/>
    <numFmt numFmtId="208" formatCode="0.00000000"/>
    <numFmt numFmtId="209" formatCode="#,##0.0000_ ;[Red]\-#,##0.0000\ "/>
    <numFmt numFmtId="210" formatCode="#,##0.000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4"/>
      <name val="Times New Roman"/>
      <family val="1"/>
    </font>
    <font>
      <sz val="9"/>
      <color indexed="14"/>
      <name val="Times New Roman"/>
      <family val="1"/>
    </font>
    <font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9"/>
      <color indexed="17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02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" fontId="5" fillId="4" borderId="10" xfId="0" applyNumberFormat="1" applyFont="1" applyFill="1" applyBorder="1" applyAlignment="1">
      <alignment/>
    </xf>
    <xf numFmtId="0" fontId="8" fillId="4" borderId="10" xfId="0" applyFont="1" applyFill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top" wrapText="1"/>
    </xf>
    <xf numFmtId="1" fontId="4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1" fontId="5" fillId="4" borderId="12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3" fillId="7" borderId="10" xfId="0" applyFont="1" applyFill="1" applyBorder="1" applyAlignment="1">
      <alignment horizontal="center" vertical="top" wrapText="1"/>
    </xf>
    <xf numFmtId="16" fontId="10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justify" vertical="top" wrapText="1"/>
    </xf>
    <xf numFmtId="4" fontId="15" fillId="0" borderId="10" xfId="0" applyNumberFormat="1" applyFont="1" applyBorder="1" applyAlignment="1">
      <alignment horizontal="justify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16" fontId="10" fillId="0" borderId="17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/>
    </xf>
    <xf numFmtId="16" fontId="10" fillId="0" borderId="18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5" fillId="4" borderId="12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5" fillId="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5" fillId="4" borderId="12" xfId="0" applyNumberFormat="1" applyFont="1" applyFill="1" applyBorder="1" applyAlignment="1">
      <alignment/>
    </xf>
    <xf numFmtId="4" fontId="11" fillId="24" borderId="12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0" fontId="9" fillId="25" borderId="10" xfId="0" applyFont="1" applyFill="1" applyBorder="1" applyAlignment="1">
      <alignment horizontal="left" wrapText="1"/>
    </xf>
    <xf numFmtId="0" fontId="9" fillId="25" borderId="1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3" fillId="0" borderId="23" xfId="0" applyFont="1" applyBorder="1" applyAlignment="1">
      <alignment horizontal="justify" vertical="top" wrapText="1"/>
    </xf>
    <xf numFmtId="0" fontId="9" fillId="25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18" fillId="0" borderId="24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4" fontId="5" fillId="2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4" fontId="1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/>
    </xf>
    <xf numFmtId="0" fontId="5" fillId="15" borderId="10" xfId="0" applyFont="1" applyFill="1" applyBorder="1" applyAlignment="1">
      <alignment/>
    </xf>
    <xf numFmtId="3" fontId="5" fillId="4" borderId="12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15" borderId="12" xfId="0" applyNumberFormat="1" applyFont="1" applyFill="1" applyBorder="1" applyAlignment="1">
      <alignment horizontal="center"/>
    </xf>
    <xf numFmtId="3" fontId="11" fillId="15" borderId="10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11" fillId="24" borderId="12" xfId="0" applyNumberFormat="1" applyFont="1" applyFill="1" applyBorder="1" applyAlignment="1">
      <alignment horizontal="center"/>
    </xf>
    <xf numFmtId="3" fontId="11" fillId="24" borderId="10" xfId="0" applyNumberFormat="1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11" fillId="26" borderId="12" xfId="0" applyNumberFormat="1" applyFont="1" applyFill="1" applyBorder="1" applyAlignment="1">
      <alignment horizontal="center"/>
    </xf>
    <xf numFmtId="3" fontId="4" fillId="25" borderId="10" xfId="0" applyNumberFormat="1" applyFont="1" applyFill="1" applyBorder="1" applyAlignment="1">
      <alignment horizontal="center"/>
    </xf>
    <xf numFmtId="3" fontId="4" fillId="25" borderId="1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1" fontId="5" fillId="4" borderId="17" xfId="0" applyNumberFormat="1" applyFont="1" applyFill="1" applyBorder="1" applyAlignment="1">
      <alignment/>
    </xf>
    <xf numFmtId="3" fontId="5" fillId="4" borderId="26" xfId="0" applyNumberFormat="1" applyFont="1" applyFill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/>
    </xf>
    <xf numFmtId="1" fontId="4" fillId="24" borderId="17" xfId="0" applyNumberFormat="1" applyFont="1" applyFill="1" applyBorder="1" applyAlignment="1">
      <alignment/>
    </xf>
    <xf numFmtId="3" fontId="11" fillId="24" borderId="26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5" fillId="4" borderId="27" xfId="0" applyNumberFormat="1" applyFont="1" applyFill="1" applyBorder="1" applyAlignment="1">
      <alignment/>
    </xf>
    <xf numFmtId="1" fontId="4" fillId="0" borderId="27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25" borderId="2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3" fontId="11" fillId="0" borderId="2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3" fontId="11" fillId="7" borderId="2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1" fillId="4" borderId="25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3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5" fillId="15" borderId="10" xfId="0" applyNumberFormat="1" applyFont="1" applyFill="1" applyBorder="1" applyAlignment="1">
      <alignment horizontal="left"/>
    </xf>
    <xf numFmtId="3" fontId="4" fillId="0" borderId="3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1" fontId="4" fillId="22" borderId="17" xfId="0" applyNumberFormat="1" applyFont="1" applyFill="1" applyBorder="1" applyAlignment="1">
      <alignment/>
    </xf>
    <xf numFmtId="0" fontId="10" fillId="22" borderId="0" xfId="0" applyFont="1" applyFill="1" applyBorder="1" applyAlignment="1">
      <alignment wrapText="1"/>
    </xf>
    <xf numFmtId="3" fontId="4" fillId="22" borderId="26" xfId="0" applyNumberFormat="1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center" vertical="top" wrapText="1"/>
    </xf>
    <xf numFmtId="4" fontId="15" fillId="3" borderId="32" xfId="0" applyNumberFormat="1" applyFont="1" applyFill="1" applyBorder="1" applyAlignment="1">
      <alignment horizontal="justify" vertical="top" wrapText="1"/>
    </xf>
    <xf numFmtId="3" fontId="11" fillId="3" borderId="28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0" fontId="8" fillId="7" borderId="17" xfId="0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horizontal="justify" vertical="top" wrapText="1"/>
    </xf>
    <xf numFmtId="1" fontId="11" fillId="27" borderId="10" xfId="0" applyNumberFormat="1" applyFont="1" applyFill="1" applyBorder="1" applyAlignment="1">
      <alignment/>
    </xf>
    <xf numFmtId="0" fontId="5" fillId="27" borderId="0" xfId="0" applyFont="1" applyFill="1" applyAlignment="1">
      <alignment wrapText="1"/>
    </xf>
    <xf numFmtId="3" fontId="11" fillId="27" borderId="12" xfId="0" applyNumberFormat="1" applyFont="1" applyFill="1" applyBorder="1" applyAlignment="1">
      <alignment horizontal="center"/>
    </xf>
    <xf numFmtId="3" fontId="11" fillId="27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left" vertical="top" wrapText="1"/>
    </xf>
    <xf numFmtId="16" fontId="13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24" borderId="25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4" borderId="3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24" borderId="33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3" fontId="11" fillId="7" borderId="10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11" fillId="4" borderId="33" xfId="0" applyNumberFormat="1" applyFont="1" applyFill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11" fillId="24" borderId="33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3" fontId="19" fillId="0" borderId="26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1" fillId="3" borderId="3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22" borderId="10" xfId="0" applyNumberFormat="1" applyFont="1" applyFill="1" applyBorder="1" applyAlignment="1">
      <alignment horizontal="center"/>
    </xf>
    <xf numFmtId="4" fontId="5" fillId="4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2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25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7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42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4" fontId="6" fillId="0" borderId="35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yDocument\&#1089;&#1095;.20%20&#1080;%2026%202016&#1075;%209%20&#1084;&#1077;&#1089;&#1103;&#1094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сч.9 мес.2016"/>
      <sheetName val="сч.26 9 мес.2016г"/>
    </sheetNames>
    <sheetDataSet>
      <sheetData sheetId="0">
        <row r="8">
          <cell r="G8">
            <v>349.2073733333333</v>
          </cell>
        </row>
        <row r="12">
          <cell r="G12">
            <v>928.3050800000001</v>
          </cell>
        </row>
        <row r="19">
          <cell r="G19">
            <v>12.133333333333333</v>
          </cell>
        </row>
        <row r="22">
          <cell r="G22">
            <v>33.55932</v>
          </cell>
        </row>
        <row r="34">
          <cell r="G34">
            <v>10242.171466666667</v>
          </cell>
        </row>
        <row r="38">
          <cell r="G38">
            <v>455.85410666666655</v>
          </cell>
        </row>
        <row r="41">
          <cell r="G41">
            <v>741.5333600000001</v>
          </cell>
        </row>
        <row r="42">
          <cell r="G42">
            <v>286.58528</v>
          </cell>
        </row>
        <row r="44">
          <cell r="G44">
            <v>4832.258773333333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61">
      <selection activeCell="C66" sqref="C66"/>
    </sheetView>
  </sheetViews>
  <sheetFormatPr defaultColWidth="9.140625" defaultRowHeight="12.75"/>
  <cols>
    <col min="1" max="1" width="6.421875" style="1" customWidth="1"/>
    <col min="2" max="2" width="55.421875" style="8" customWidth="1"/>
    <col min="3" max="3" width="25.00390625" style="125" customWidth="1"/>
    <col min="4" max="4" width="17.140625" style="4" customWidth="1"/>
    <col min="5" max="5" width="17.7109375" style="4" customWidth="1"/>
    <col min="6" max="6" width="19.140625" style="4" customWidth="1"/>
    <col min="7" max="7" width="15.7109375" style="6" customWidth="1"/>
    <col min="8" max="16384" width="9.140625" style="6" customWidth="1"/>
  </cols>
  <sheetData>
    <row r="1" spans="2:5" ht="15.75">
      <c r="B1" s="177" t="s">
        <v>244</v>
      </c>
      <c r="E1" s="222" t="s">
        <v>245</v>
      </c>
    </row>
    <row r="2" spans="2:5" ht="15.75">
      <c r="B2" s="177" t="s">
        <v>0</v>
      </c>
      <c r="E2" s="223" t="s">
        <v>246</v>
      </c>
    </row>
    <row r="3" spans="2:5" ht="15.75">
      <c r="B3" s="177" t="s">
        <v>1</v>
      </c>
      <c r="E3" s="223" t="s">
        <v>247</v>
      </c>
    </row>
    <row r="4" ht="15.75">
      <c r="B4" s="177" t="s">
        <v>236</v>
      </c>
    </row>
    <row r="5" spans="1:6" ht="40.5" customHeight="1">
      <c r="A5" s="292" t="s">
        <v>241</v>
      </c>
      <c r="B5" s="292"/>
      <c r="C5" s="292"/>
      <c r="D5" s="292"/>
      <c r="E5" s="292"/>
      <c r="F5" s="292"/>
    </row>
    <row r="6" ht="13.5" thickBot="1"/>
    <row r="7" spans="1:6" ht="16.5" customHeight="1">
      <c r="A7" s="287" t="s">
        <v>2</v>
      </c>
      <c r="B7" s="272" t="s">
        <v>3</v>
      </c>
      <c r="C7" s="127"/>
      <c r="D7" s="283" t="s">
        <v>168</v>
      </c>
      <c r="E7" s="283" t="s">
        <v>169</v>
      </c>
      <c r="F7" s="285" t="s">
        <v>87</v>
      </c>
    </row>
    <row r="8" spans="1:6" ht="17.25" customHeight="1">
      <c r="A8" s="288"/>
      <c r="B8" s="273"/>
      <c r="C8" s="128" t="s">
        <v>177</v>
      </c>
      <c r="D8" s="284"/>
      <c r="E8" s="284"/>
      <c r="F8" s="286"/>
    </row>
    <row r="9" spans="1:6" s="2" customFormat="1" ht="15.75" customHeight="1">
      <c r="A9" s="129">
        <v>1</v>
      </c>
      <c r="B9" s="12" t="s">
        <v>5</v>
      </c>
      <c r="C9" s="130">
        <f>C11+C12+C13+C14+C15+C16+C17+C18+C19+C20+C21+C22+C23</f>
        <v>339330</v>
      </c>
      <c r="D9" s="71">
        <f>D11+D12+D13+D14+D15+D16+D17+D18+D19+D20+D21+D22+D23</f>
        <v>84887</v>
      </c>
      <c r="E9" s="71">
        <f>E11+E12+E13+E14+E15+E16+E17+E18+E19+E20+E21+E22+E23</f>
        <v>167300</v>
      </c>
      <c r="F9" s="219">
        <f>F11+F12+F13+F14+F15+F16+F17+F18+F19+F20+F21+F22+F23</f>
        <v>252940</v>
      </c>
    </row>
    <row r="10" spans="1:6" s="2" customFormat="1" ht="15.75" customHeight="1">
      <c r="A10" s="167"/>
      <c r="B10" s="103"/>
      <c r="C10" s="131"/>
      <c r="D10" s="16"/>
      <c r="E10" s="16"/>
      <c r="F10" s="220"/>
    </row>
    <row r="11" spans="1:6" ht="45" hidden="1">
      <c r="A11" s="132" t="s">
        <v>6</v>
      </c>
      <c r="B11" s="18" t="s">
        <v>7</v>
      </c>
      <c r="C11" s="133">
        <v>0</v>
      </c>
      <c r="D11" s="115">
        <v>0</v>
      </c>
      <c r="E11" s="115">
        <v>0</v>
      </c>
      <c r="F11" s="140">
        <v>0</v>
      </c>
    </row>
    <row r="12" spans="1:6" ht="15.75">
      <c r="A12" s="134" t="s">
        <v>90</v>
      </c>
      <c r="B12" s="21" t="s">
        <v>9</v>
      </c>
      <c r="C12" s="133">
        <v>28884</v>
      </c>
      <c r="D12" s="115">
        <v>6804</v>
      </c>
      <c r="E12" s="115">
        <v>13610</v>
      </c>
      <c r="F12" s="140">
        <v>21246</v>
      </c>
    </row>
    <row r="13" spans="1:6" ht="31.5">
      <c r="A13" s="134" t="s">
        <v>30</v>
      </c>
      <c r="B13" s="21" t="s">
        <v>11</v>
      </c>
      <c r="C13" s="133">
        <v>137998</v>
      </c>
      <c r="D13" s="115">
        <v>32789</v>
      </c>
      <c r="E13" s="115">
        <v>67590</v>
      </c>
      <c r="F13" s="140">
        <v>102239</v>
      </c>
    </row>
    <row r="14" spans="1:6" ht="15.75">
      <c r="A14" s="134" t="s">
        <v>93</v>
      </c>
      <c r="B14" s="21" t="s">
        <v>13</v>
      </c>
      <c r="C14" s="140">
        <v>71812</v>
      </c>
      <c r="D14" s="115">
        <v>17402</v>
      </c>
      <c r="E14" s="115">
        <v>34804</v>
      </c>
      <c r="F14" s="140">
        <v>53308</v>
      </c>
    </row>
    <row r="15" spans="1:6" ht="15.75">
      <c r="A15" s="134" t="s">
        <v>95</v>
      </c>
      <c r="B15" s="21" t="s">
        <v>15</v>
      </c>
      <c r="C15" s="133">
        <v>21274</v>
      </c>
      <c r="D15" s="115">
        <v>4827</v>
      </c>
      <c r="E15" s="115">
        <v>9653</v>
      </c>
      <c r="F15" s="140">
        <v>15799</v>
      </c>
    </row>
    <row r="16" spans="1:6" ht="15.75">
      <c r="A16" s="134" t="s">
        <v>255</v>
      </c>
      <c r="B16" s="21" t="s">
        <v>17</v>
      </c>
      <c r="C16" s="133">
        <v>6383</v>
      </c>
      <c r="D16" s="115">
        <v>1561</v>
      </c>
      <c r="E16" s="115">
        <v>3123</v>
      </c>
      <c r="F16" s="140">
        <v>4974</v>
      </c>
    </row>
    <row r="17" spans="1:6" ht="15.75">
      <c r="A17" s="134" t="s">
        <v>97</v>
      </c>
      <c r="B17" s="21" t="s">
        <v>19</v>
      </c>
      <c r="C17" s="133">
        <v>129</v>
      </c>
      <c r="D17" s="115">
        <v>32</v>
      </c>
      <c r="E17" s="115">
        <v>64</v>
      </c>
      <c r="F17" s="140">
        <v>96</v>
      </c>
    </row>
    <row r="18" spans="1:6" ht="15.75">
      <c r="A18" s="134" t="s">
        <v>256</v>
      </c>
      <c r="B18" s="21" t="s">
        <v>21</v>
      </c>
      <c r="C18" s="133">
        <v>720</v>
      </c>
      <c r="D18" s="115">
        <v>180</v>
      </c>
      <c r="E18" s="115">
        <v>360</v>
      </c>
      <c r="F18" s="140">
        <v>540</v>
      </c>
    </row>
    <row r="19" spans="1:6" ht="31.5">
      <c r="A19" s="134" t="s">
        <v>257</v>
      </c>
      <c r="B19" s="21" t="s">
        <v>23</v>
      </c>
      <c r="C19" s="140">
        <v>6513</v>
      </c>
      <c r="D19" s="115">
        <v>1591</v>
      </c>
      <c r="E19" s="115">
        <v>3183</v>
      </c>
      <c r="F19" s="140">
        <v>4848</v>
      </c>
    </row>
    <row r="20" spans="1:6" ht="15.75">
      <c r="A20" s="134" t="s">
        <v>258</v>
      </c>
      <c r="B20" s="21" t="s">
        <v>25</v>
      </c>
      <c r="C20" s="140">
        <v>15339</v>
      </c>
      <c r="D20" s="115">
        <v>3747</v>
      </c>
      <c r="E20" s="115">
        <v>7494</v>
      </c>
      <c r="F20" s="140">
        <v>11417</v>
      </c>
    </row>
    <row r="21" spans="1:6" ht="15.75">
      <c r="A21" s="134" t="s">
        <v>259</v>
      </c>
      <c r="B21" s="21" t="s">
        <v>27</v>
      </c>
      <c r="C21" s="133">
        <v>5752</v>
      </c>
      <c r="D21" s="115">
        <v>1393</v>
      </c>
      <c r="E21" s="115">
        <v>2786</v>
      </c>
      <c r="F21" s="140">
        <v>4268</v>
      </c>
    </row>
    <row r="22" spans="1:6" ht="12.75">
      <c r="A22" s="134" t="s">
        <v>260</v>
      </c>
      <c r="B22" s="9" t="s">
        <v>29</v>
      </c>
      <c r="C22" s="133">
        <v>19880</v>
      </c>
      <c r="D22" s="115">
        <v>4970</v>
      </c>
      <c r="E22" s="115">
        <v>9940</v>
      </c>
      <c r="F22" s="140">
        <v>14910</v>
      </c>
    </row>
    <row r="23" spans="1:6" ht="15.75">
      <c r="A23" s="135" t="s">
        <v>261</v>
      </c>
      <c r="B23" s="23" t="s">
        <v>31</v>
      </c>
      <c r="C23" s="136">
        <f>C24+C25</f>
        <v>24646</v>
      </c>
      <c r="D23" s="118">
        <f>D24+D25</f>
        <v>9591</v>
      </c>
      <c r="E23" s="118">
        <f>E24+E25</f>
        <v>14693</v>
      </c>
      <c r="F23" s="136">
        <f>F24+F25</f>
        <v>19295</v>
      </c>
    </row>
    <row r="24" spans="1:6" ht="15.75">
      <c r="A24" s="134"/>
      <c r="B24" s="24" t="s">
        <v>33</v>
      </c>
      <c r="C24" s="133">
        <v>1860</v>
      </c>
      <c r="D24" s="115">
        <v>465</v>
      </c>
      <c r="E24" s="115">
        <v>930</v>
      </c>
      <c r="F24" s="140">
        <v>1395</v>
      </c>
    </row>
    <row r="25" spans="1:6" ht="15.75">
      <c r="A25" s="137"/>
      <c r="B25" s="26" t="s">
        <v>35</v>
      </c>
      <c r="C25" s="133">
        <v>22786</v>
      </c>
      <c r="D25" s="116">
        <v>9126</v>
      </c>
      <c r="E25" s="116">
        <v>13763</v>
      </c>
      <c r="F25" s="213">
        <v>17900</v>
      </c>
    </row>
    <row r="26" spans="1:6" s="2" customFormat="1" ht="15.75">
      <c r="A26" s="138" t="s">
        <v>36</v>
      </c>
      <c r="B26" s="12" t="s">
        <v>37</v>
      </c>
      <c r="C26" s="130">
        <f>C27+C28+C29+C30+C31+C32</f>
        <v>298433.381</v>
      </c>
      <c r="D26" s="107">
        <f>D27+D28+D29+D30+D31+D32</f>
        <v>75467.817</v>
      </c>
      <c r="E26" s="107">
        <f>E27+E28+E29+E30+E31+E32</f>
        <v>146612.21600000001</v>
      </c>
      <c r="F26" s="130">
        <f>F27+F28+F29+F30+F31+F32</f>
        <v>222495.825</v>
      </c>
    </row>
    <row r="27" spans="1:6" ht="15.75">
      <c r="A27" s="139" t="s">
        <v>38</v>
      </c>
      <c r="B27" s="24" t="s">
        <v>39</v>
      </c>
      <c r="C27" s="133">
        <f>104733.941+31630</f>
        <v>136363.941</v>
      </c>
      <c r="D27" s="113">
        <f>'план на 2017год по кварталам'!D27+'план на 2017год по кварталам'!D28</f>
        <v>33879.342</v>
      </c>
      <c r="E27" s="113">
        <f>'план на 2017год по кварталам'!E27+'план на 2017год по кварталам'!E28</f>
        <v>66640.266</v>
      </c>
      <c r="F27" s="133">
        <f>'план на 2017год по кварталам'!F27+'план на 2017год по кварталам'!F28</f>
        <v>103118.4</v>
      </c>
    </row>
    <row r="28" spans="1:6" ht="15.75">
      <c r="A28" s="139" t="s">
        <v>40</v>
      </c>
      <c r="B28" s="24" t="s">
        <v>41</v>
      </c>
      <c r="C28" s="140">
        <v>13000</v>
      </c>
      <c r="D28" s="115">
        <f>C28/4</f>
        <v>3250</v>
      </c>
      <c r="E28" s="115">
        <f>C28/2</f>
        <v>6500</v>
      </c>
      <c r="F28" s="140">
        <f>C28/12*9</f>
        <v>9750</v>
      </c>
    </row>
    <row r="29" spans="1:6" ht="15.75" hidden="1">
      <c r="A29" s="139" t="s">
        <v>42</v>
      </c>
      <c r="B29" s="24" t="s">
        <v>43</v>
      </c>
      <c r="C29" s="133"/>
      <c r="D29" s="19"/>
      <c r="E29" s="19"/>
      <c r="F29" s="221"/>
    </row>
    <row r="30" spans="1:6" ht="15.75">
      <c r="A30" s="139" t="s">
        <v>44</v>
      </c>
      <c r="B30" s="24" t="s">
        <v>45</v>
      </c>
      <c r="C30" s="133">
        <v>742</v>
      </c>
      <c r="D30" s="115">
        <f>C30/4</f>
        <v>185.5</v>
      </c>
      <c r="E30" s="115">
        <f>C30/2</f>
        <v>371</v>
      </c>
      <c r="F30" s="140">
        <f>C30/12*9</f>
        <v>556.5</v>
      </c>
    </row>
    <row r="31" spans="1:6" ht="15.75">
      <c r="A31" s="139" t="s">
        <v>46</v>
      </c>
      <c r="B31" s="24" t="s">
        <v>74</v>
      </c>
      <c r="C31" s="133">
        <v>11606</v>
      </c>
      <c r="D31" s="19">
        <f>C31/4</f>
        <v>2901.5</v>
      </c>
      <c r="E31" s="19">
        <f>C31/2</f>
        <v>5803</v>
      </c>
      <c r="F31" s="221">
        <f>C31/12*9</f>
        <v>8704.5</v>
      </c>
    </row>
    <row r="32" spans="1:6" ht="31.5">
      <c r="A32" s="161" t="s">
        <v>47</v>
      </c>
      <c r="B32" s="162" t="s">
        <v>48</v>
      </c>
      <c r="C32" s="163">
        <f>C33+C34+C35+C36+C37+C38</f>
        <v>136721.44</v>
      </c>
      <c r="D32" s="218">
        <f>D33+D34+D35+D36+D37+D38</f>
        <v>35251.475</v>
      </c>
      <c r="E32" s="218">
        <f>E33+E34+E35+E36+E37+E38</f>
        <v>67297.95</v>
      </c>
      <c r="F32" s="163">
        <f>F33+F34+F35+F36+F37+F38</f>
        <v>100366.425</v>
      </c>
    </row>
    <row r="33" spans="1:6" ht="31.5">
      <c r="A33" s="139" t="s">
        <v>49</v>
      </c>
      <c r="B33" s="24" t="s">
        <v>50</v>
      </c>
      <c r="C33" s="244">
        <v>6513</v>
      </c>
      <c r="D33" s="115">
        <v>1591</v>
      </c>
      <c r="E33" s="115">
        <v>3183</v>
      </c>
      <c r="F33" s="140">
        <v>4848</v>
      </c>
    </row>
    <row r="34" spans="1:6" ht="15.75">
      <c r="A34" s="139" t="s">
        <v>51</v>
      </c>
      <c r="B34" s="24" t="s">
        <v>52</v>
      </c>
      <c r="C34" s="140">
        <v>32547</v>
      </c>
      <c r="D34" s="115">
        <v>7585</v>
      </c>
      <c r="E34" s="115">
        <v>15171</v>
      </c>
      <c r="F34" s="140">
        <v>23859</v>
      </c>
    </row>
    <row r="35" spans="1:6" ht="15.75">
      <c r="A35" s="139" t="s">
        <v>53</v>
      </c>
      <c r="B35" s="24" t="s">
        <v>54</v>
      </c>
      <c r="C35" s="141">
        <v>48941.9</v>
      </c>
      <c r="D35" s="115">
        <f>C35/4</f>
        <v>12235.475</v>
      </c>
      <c r="E35" s="115">
        <f>C35/2</f>
        <v>24470.95</v>
      </c>
      <c r="F35" s="140">
        <f>C35/12*9</f>
        <v>36706.425</v>
      </c>
    </row>
    <row r="36" spans="1:6" ht="31.5">
      <c r="A36" s="139" t="s">
        <v>55</v>
      </c>
      <c r="B36" s="24" t="s">
        <v>56</v>
      </c>
      <c r="C36" s="140">
        <v>15339</v>
      </c>
      <c r="D36" s="115">
        <v>3747</v>
      </c>
      <c r="E36" s="115">
        <v>7494</v>
      </c>
      <c r="F36" s="140">
        <v>11417</v>
      </c>
    </row>
    <row r="37" spans="1:6" ht="15.75">
      <c r="A37" s="139" t="s">
        <v>57</v>
      </c>
      <c r="B37" s="24" t="s">
        <v>58</v>
      </c>
      <c r="C37" s="133">
        <v>16813</v>
      </c>
      <c r="D37" s="113">
        <v>5846</v>
      </c>
      <c r="E37" s="113">
        <v>8406</v>
      </c>
      <c r="F37" s="133">
        <v>10967</v>
      </c>
    </row>
    <row r="38" spans="1:6" ht="15.75">
      <c r="A38" s="132" t="s">
        <v>59</v>
      </c>
      <c r="B38" s="29" t="s">
        <v>60</v>
      </c>
      <c r="C38" s="140">
        <v>16567.54</v>
      </c>
      <c r="D38" s="115">
        <v>4247</v>
      </c>
      <c r="E38" s="115">
        <v>8573</v>
      </c>
      <c r="F38" s="140">
        <v>12569</v>
      </c>
    </row>
    <row r="39" spans="1:6" ht="15.75">
      <c r="A39" s="142">
        <v>3</v>
      </c>
      <c r="B39" s="31" t="s">
        <v>61</v>
      </c>
      <c r="C39" s="143">
        <f>C9-C26</f>
        <v>40896.619000000006</v>
      </c>
      <c r="D39" s="109">
        <f>D9-D26</f>
        <v>9419.183000000005</v>
      </c>
      <c r="E39" s="109">
        <f>E9-E26</f>
        <v>20687.783999999985</v>
      </c>
      <c r="F39" s="143">
        <f>F9-F26</f>
        <v>30444.17499999999</v>
      </c>
    </row>
    <row r="40" spans="1:6" ht="15.75">
      <c r="A40" s="144">
        <v>4</v>
      </c>
      <c r="B40" s="33" t="s">
        <v>62</v>
      </c>
      <c r="C40" s="133"/>
      <c r="D40" s="19"/>
      <c r="E40" s="19"/>
      <c r="F40" s="221"/>
    </row>
    <row r="41" spans="1:6" ht="60">
      <c r="A41" s="144">
        <v>5</v>
      </c>
      <c r="B41" s="34" t="s">
        <v>63</v>
      </c>
      <c r="C41" s="133">
        <v>37016</v>
      </c>
      <c r="D41" s="115">
        <v>8700</v>
      </c>
      <c r="E41" s="115">
        <v>18508</v>
      </c>
      <c r="F41" s="140">
        <v>27762</v>
      </c>
    </row>
    <row r="42" spans="1:7" ht="15.75">
      <c r="A42" s="142">
        <v>6</v>
      </c>
      <c r="B42" s="31" t="s">
        <v>64</v>
      </c>
      <c r="C42" s="143">
        <f>C39-C41</f>
        <v>3880.619000000006</v>
      </c>
      <c r="D42" s="109">
        <f>D39-D41</f>
        <v>719.1830000000045</v>
      </c>
      <c r="E42" s="109">
        <f>E39-E41</f>
        <v>2179.783999999985</v>
      </c>
      <c r="F42" s="143">
        <f>F39-F41</f>
        <v>2682.1749999999884</v>
      </c>
      <c r="G42" s="214"/>
    </row>
    <row r="43" spans="1:6" ht="15.75">
      <c r="A43" s="144">
        <v>7</v>
      </c>
      <c r="B43" s="33" t="s">
        <v>65</v>
      </c>
      <c r="C43" s="133"/>
      <c r="D43" s="19"/>
      <c r="E43" s="19"/>
      <c r="F43" s="221"/>
    </row>
    <row r="44" spans="1:6" ht="15.75">
      <c r="A44" s="144">
        <v>8</v>
      </c>
      <c r="B44" s="33" t="s">
        <v>66</v>
      </c>
      <c r="C44" s="133"/>
      <c r="D44" s="19"/>
      <c r="E44" s="19"/>
      <c r="F44" s="221"/>
    </row>
    <row r="45" spans="1:6" s="42" customFormat="1" ht="15.75">
      <c r="A45" s="168">
        <v>9</v>
      </c>
      <c r="B45" s="169" t="s">
        <v>67</v>
      </c>
      <c r="C45" s="145">
        <f>C47+C48</f>
        <v>10000</v>
      </c>
      <c r="D45" s="196">
        <f>D47+D48</f>
        <v>2500</v>
      </c>
      <c r="E45" s="196">
        <f>E47+E48</f>
        <v>5000</v>
      </c>
      <c r="F45" s="145">
        <f>F47+F48</f>
        <v>7500</v>
      </c>
    </row>
    <row r="46" spans="1:6" ht="15.75">
      <c r="A46" s="58" t="s">
        <v>68</v>
      </c>
      <c r="B46" s="37" t="s">
        <v>69</v>
      </c>
      <c r="C46" s="133"/>
      <c r="D46" s="19"/>
      <c r="E46" s="19"/>
      <c r="F46" s="221"/>
    </row>
    <row r="47" spans="1:6" ht="15.75">
      <c r="A47" s="58" t="s">
        <v>70</v>
      </c>
      <c r="B47" s="38" t="s">
        <v>71</v>
      </c>
      <c r="C47" s="133">
        <v>6000</v>
      </c>
      <c r="D47" s="115">
        <f>C47/4</f>
        <v>1500</v>
      </c>
      <c r="E47" s="115">
        <f>C47/2</f>
        <v>3000</v>
      </c>
      <c r="F47" s="140">
        <f>C47/12*9</f>
        <v>4500</v>
      </c>
    </row>
    <row r="48" spans="1:6" ht="15.75">
      <c r="A48" s="58" t="s">
        <v>72</v>
      </c>
      <c r="B48" s="24" t="s">
        <v>73</v>
      </c>
      <c r="C48" s="133">
        <v>4000</v>
      </c>
      <c r="D48" s="115">
        <f>C48/4</f>
        <v>1000</v>
      </c>
      <c r="E48" s="115">
        <f>C48/2</f>
        <v>2000</v>
      </c>
      <c r="F48" s="140">
        <f>C48/12*9</f>
        <v>3000</v>
      </c>
    </row>
    <row r="49" spans="1:6" ht="15.75">
      <c r="A49" s="58"/>
      <c r="B49" s="39"/>
      <c r="C49" s="133"/>
      <c r="D49" s="19"/>
      <c r="E49" s="19"/>
      <c r="F49" s="221"/>
    </row>
    <row r="50" spans="1:6" s="42" customFormat="1" ht="15.75">
      <c r="A50" s="168">
        <v>10</v>
      </c>
      <c r="B50" s="169" t="s">
        <v>74</v>
      </c>
      <c r="C50" s="145">
        <f>C51+C52+C53+C54</f>
        <v>10000</v>
      </c>
      <c r="D50" s="196">
        <f>D51+D52+D53+D54</f>
        <v>2500</v>
      </c>
      <c r="E50" s="196">
        <f>E51+E52+E53+E54</f>
        <v>5000</v>
      </c>
      <c r="F50" s="145">
        <f>F51+F52+F53+F54</f>
        <v>7500</v>
      </c>
    </row>
    <row r="51" spans="1:6" ht="15.75">
      <c r="A51" s="146" t="s">
        <v>75</v>
      </c>
      <c r="B51" s="39" t="s">
        <v>76</v>
      </c>
      <c r="C51" s="133">
        <v>6000</v>
      </c>
      <c r="D51" s="115">
        <f>C51/4</f>
        <v>1500</v>
      </c>
      <c r="E51" s="115">
        <f>C51/2</f>
        <v>3000</v>
      </c>
      <c r="F51" s="140">
        <f>C51/12*9</f>
        <v>4500</v>
      </c>
    </row>
    <row r="52" spans="1:6" ht="15.75">
      <c r="A52" s="146" t="s">
        <v>77</v>
      </c>
      <c r="B52" s="39" t="s">
        <v>78</v>
      </c>
      <c r="C52" s="133">
        <v>400</v>
      </c>
      <c r="D52" s="115">
        <f>C52/4</f>
        <v>100</v>
      </c>
      <c r="E52" s="115">
        <f>C52/2</f>
        <v>200</v>
      </c>
      <c r="F52" s="140">
        <f>C52/12*9</f>
        <v>300</v>
      </c>
    </row>
    <row r="53" spans="1:6" ht="15.75">
      <c r="A53" s="146" t="s">
        <v>79</v>
      </c>
      <c r="B53" s="39" t="s">
        <v>80</v>
      </c>
      <c r="C53" s="133">
        <v>2000</v>
      </c>
      <c r="D53" s="115">
        <f>C53/4</f>
        <v>500</v>
      </c>
      <c r="E53" s="115">
        <f>C53/2</f>
        <v>1000</v>
      </c>
      <c r="F53" s="140">
        <f>C53/12*9</f>
        <v>1500</v>
      </c>
    </row>
    <row r="54" spans="1:6" ht="15.75">
      <c r="A54" s="58" t="s">
        <v>81</v>
      </c>
      <c r="B54" s="39" t="s">
        <v>60</v>
      </c>
      <c r="C54" s="133">
        <v>1600</v>
      </c>
      <c r="D54" s="115">
        <f>C54/4</f>
        <v>400</v>
      </c>
      <c r="E54" s="115">
        <f>C54/2</f>
        <v>800</v>
      </c>
      <c r="F54" s="140">
        <f>C54/12*9</f>
        <v>1200</v>
      </c>
    </row>
    <row r="55" spans="1:6" s="42" customFormat="1" ht="28.5">
      <c r="A55" s="142">
        <v>11</v>
      </c>
      <c r="B55" s="41" t="s">
        <v>82</v>
      </c>
      <c r="C55" s="143">
        <f>C42+C43-C44+C45-C50</f>
        <v>3880.619000000006</v>
      </c>
      <c r="D55" s="109">
        <f>D42+D43-D44+D45-D50</f>
        <v>719.1830000000045</v>
      </c>
      <c r="E55" s="109">
        <f>E42+E43-E44+E45-E50</f>
        <v>2179.783999999985</v>
      </c>
      <c r="F55" s="143">
        <f>F42+F43-F44+F45-F50</f>
        <v>2682.1749999999884</v>
      </c>
    </row>
    <row r="56" spans="1:6" ht="15.75">
      <c r="A56" s="144">
        <v>12</v>
      </c>
      <c r="B56" s="33" t="s">
        <v>83</v>
      </c>
      <c r="C56" s="133">
        <v>776</v>
      </c>
      <c r="D56" s="113">
        <f>D55*0.2</f>
        <v>143.8366000000009</v>
      </c>
      <c r="E56" s="113">
        <f>E55*0.2</f>
        <v>435.95679999999703</v>
      </c>
      <c r="F56" s="133">
        <f>F55*0.2</f>
        <v>536.4349999999977</v>
      </c>
    </row>
    <row r="57" spans="1:6" ht="47.25" customHeight="1" thickBot="1">
      <c r="A57" s="144">
        <v>13</v>
      </c>
      <c r="B57" s="43" t="s">
        <v>84</v>
      </c>
      <c r="C57" s="133"/>
      <c r="D57" s="159"/>
      <c r="E57" s="159"/>
      <c r="F57" s="150"/>
    </row>
    <row r="58" spans="1:6" s="5" customFormat="1" ht="16.5" thickBot="1">
      <c r="A58" s="164">
        <v>14</v>
      </c>
      <c r="B58" s="165" t="s">
        <v>85</v>
      </c>
      <c r="C58" s="166">
        <f>C55-C56</f>
        <v>3104.619000000006</v>
      </c>
      <c r="D58" s="215">
        <f>D55-D56</f>
        <v>575.3464000000037</v>
      </c>
      <c r="E58" s="215">
        <f>E55-E56</f>
        <v>1743.8271999999881</v>
      </c>
      <c r="F58" s="215">
        <f>F55-F56</f>
        <v>2145.7399999999907</v>
      </c>
    </row>
    <row r="59" spans="1:6" s="5" customFormat="1" ht="15.75">
      <c r="A59" s="45"/>
      <c r="B59" s="46"/>
      <c r="C59" s="125"/>
      <c r="D59" s="3"/>
      <c r="E59" s="3"/>
      <c r="F59" s="3"/>
    </row>
    <row r="60" spans="1:6" s="5" customFormat="1" ht="15.75">
      <c r="A60" s="45"/>
      <c r="B60" s="46"/>
      <c r="C60" s="125"/>
      <c r="D60" s="3"/>
      <c r="E60" s="3"/>
      <c r="F60" s="3"/>
    </row>
    <row r="61" spans="1:6" s="5" customFormat="1" ht="15.75">
      <c r="A61" s="45"/>
      <c r="B61" s="188" t="s">
        <v>100</v>
      </c>
      <c r="C61" s="160" t="s">
        <v>101</v>
      </c>
      <c r="D61" s="125"/>
      <c r="E61" s="3"/>
      <c r="F61" s="3"/>
    </row>
    <row r="62" spans="1:6" s="5" customFormat="1" ht="31.5" customHeight="1">
      <c r="A62" s="45"/>
      <c r="B62" s="188" t="s">
        <v>102</v>
      </c>
      <c r="C62" s="290" t="s">
        <v>102</v>
      </c>
      <c r="D62" s="290"/>
      <c r="E62" s="3"/>
      <c r="F62" s="3"/>
    </row>
    <row r="63" spans="1:6" s="5" customFormat="1" ht="36.75" customHeight="1">
      <c r="A63" s="45"/>
      <c r="B63" s="212" t="s">
        <v>243</v>
      </c>
      <c r="C63" s="291" t="s">
        <v>242</v>
      </c>
      <c r="D63" s="291"/>
      <c r="E63" s="3"/>
      <c r="F63" s="3"/>
    </row>
    <row r="64" spans="1:6" s="5" customFormat="1" ht="36.75" customHeight="1">
      <c r="A64" s="45"/>
      <c r="B64" s="212"/>
      <c r="C64" s="125"/>
      <c r="D64" s="125"/>
      <c r="E64" s="3"/>
      <c r="F64" s="3"/>
    </row>
    <row r="65" spans="1:6" s="5" customFormat="1" ht="36.75" customHeight="1">
      <c r="A65" s="45"/>
      <c r="B65" s="212"/>
      <c r="C65" s="125"/>
      <c r="D65" s="125"/>
      <c r="E65" s="3"/>
      <c r="F65" s="3"/>
    </row>
    <row r="66" spans="1:6" s="5" customFormat="1" ht="36.75" customHeight="1">
      <c r="A66" s="45"/>
      <c r="B66" s="212"/>
      <c r="C66" s="125"/>
      <c r="D66" s="125"/>
      <c r="E66" s="3"/>
      <c r="F66" s="3"/>
    </row>
    <row r="67" spans="1:6" s="5" customFormat="1" ht="36.75" customHeight="1">
      <c r="A67" s="45"/>
      <c r="B67" s="212"/>
      <c r="C67" s="125"/>
      <c r="D67" s="125"/>
      <c r="E67" s="3"/>
      <c r="F67" s="3"/>
    </row>
    <row r="68" spans="1:6" s="53" customFormat="1" ht="12.75">
      <c r="A68" s="50"/>
      <c r="B68" s="51" t="s">
        <v>86</v>
      </c>
      <c r="C68" s="147"/>
      <c r="D68" s="52"/>
      <c r="E68" s="52"/>
      <c r="F68" s="52"/>
    </row>
    <row r="69" spans="1:6" ht="19.5" customHeight="1">
      <c r="A69" s="289" t="s">
        <v>2</v>
      </c>
      <c r="B69" s="274" t="s">
        <v>3</v>
      </c>
      <c r="C69" s="108" t="s">
        <v>178</v>
      </c>
      <c r="D69" s="284" t="s">
        <v>168</v>
      </c>
      <c r="E69" s="284" t="s">
        <v>169</v>
      </c>
      <c r="F69" s="284" t="s">
        <v>87</v>
      </c>
    </row>
    <row r="70" spans="1:6" ht="19.5" customHeight="1">
      <c r="A70" s="289"/>
      <c r="B70" s="294"/>
      <c r="C70" s="202" t="s">
        <v>107</v>
      </c>
      <c r="D70" s="284"/>
      <c r="E70" s="284"/>
      <c r="F70" s="284"/>
    </row>
    <row r="71" spans="1:6" ht="12.75" customHeight="1" hidden="1">
      <c r="A71" s="289"/>
      <c r="B71" s="295"/>
      <c r="C71" s="112"/>
      <c r="D71" s="19"/>
      <c r="E71" s="19"/>
      <c r="F71" s="19"/>
    </row>
    <row r="72" spans="1:6" ht="12.75" customHeight="1" hidden="1">
      <c r="A72" s="56"/>
      <c r="B72" s="55"/>
      <c r="C72" s="112"/>
      <c r="D72" s="19"/>
      <c r="E72" s="19"/>
      <c r="F72" s="19"/>
    </row>
    <row r="73" spans="1:6" ht="16.5" thickBot="1">
      <c r="A73" s="56">
        <v>1</v>
      </c>
      <c r="B73" s="54"/>
      <c r="C73" s="197"/>
      <c r="D73" s="19"/>
      <c r="E73" s="19"/>
      <c r="F73" s="19"/>
    </row>
    <row r="74" spans="1:6" ht="31.5" customHeight="1">
      <c r="A74" s="57">
        <v>1</v>
      </c>
      <c r="B74" s="189" t="s">
        <v>89</v>
      </c>
      <c r="C74" s="198">
        <f>C75+C76+C77+C78+C79</f>
        <v>670289.52</v>
      </c>
      <c r="D74" s="198">
        <f>D75+D76+D77+D78+D79</f>
        <v>228402.5</v>
      </c>
      <c r="E74" s="198">
        <f>E75+E76+E77+E78+E79</f>
        <v>338995.6</v>
      </c>
      <c r="F74" s="149">
        <f>F75+F76+F77+F78+F79</f>
        <v>410722.26</v>
      </c>
    </row>
    <row r="75" spans="1:6" ht="15.75">
      <c r="A75" s="58" t="s">
        <v>90</v>
      </c>
      <c r="B75" s="190" t="s">
        <v>91</v>
      </c>
      <c r="C75" s="293">
        <v>151500</v>
      </c>
      <c r="D75" s="279">
        <f>C75/4</f>
        <v>37875</v>
      </c>
      <c r="E75" s="279">
        <f>C75/2</f>
        <v>75750</v>
      </c>
      <c r="F75" s="281">
        <f>C75/12*9</f>
        <v>113625</v>
      </c>
    </row>
    <row r="76" spans="1:6" ht="15.75">
      <c r="A76" s="58" t="s">
        <v>30</v>
      </c>
      <c r="B76" s="190" t="s">
        <v>92</v>
      </c>
      <c r="C76" s="293"/>
      <c r="D76" s="280"/>
      <c r="E76" s="280"/>
      <c r="F76" s="282"/>
    </row>
    <row r="77" spans="1:6" ht="15.75">
      <c r="A77" s="58" t="s">
        <v>93</v>
      </c>
      <c r="B77" s="190" t="s">
        <v>94</v>
      </c>
      <c r="C77" s="112">
        <v>86339.52</v>
      </c>
      <c r="D77" s="113">
        <v>30857</v>
      </c>
      <c r="E77" s="113">
        <v>51998</v>
      </c>
      <c r="F77" s="133">
        <v>71236.76</v>
      </c>
    </row>
    <row r="78" spans="1:6" ht="15.75">
      <c r="A78" s="58" t="s">
        <v>95</v>
      </c>
      <c r="B78" s="190" t="s">
        <v>96</v>
      </c>
      <c r="C78" s="112">
        <v>414000</v>
      </c>
      <c r="D78" s="113">
        <v>155058</v>
      </c>
      <c r="E78" s="113">
        <v>202022.6</v>
      </c>
      <c r="F78" s="133">
        <v>212023</v>
      </c>
    </row>
    <row r="79" spans="1:6" ht="16.5" thickBot="1">
      <c r="A79" s="60" t="s">
        <v>97</v>
      </c>
      <c r="B79" s="191" t="s">
        <v>98</v>
      </c>
      <c r="C79" s="199">
        <v>18450</v>
      </c>
      <c r="D79" s="159">
        <f>C79/4</f>
        <v>4612.5</v>
      </c>
      <c r="E79" s="159">
        <f>C79/2</f>
        <v>9225</v>
      </c>
      <c r="F79" s="150">
        <f>C79/12*9</f>
        <v>13837.5</v>
      </c>
    </row>
    <row r="80" spans="1:6" ht="16.5" customHeight="1" hidden="1" thickBot="1">
      <c r="A80" s="151">
        <v>2</v>
      </c>
      <c r="B80" s="187"/>
      <c r="C80" s="200"/>
      <c r="D80" s="152"/>
      <c r="E80" s="152"/>
      <c r="F80" s="152"/>
    </row>
    <row r="81" spans="1:6" ht="16.5" customHeight="1" hidden="1" thickBot="1">
      <c r="A81" s="62"/>
      <c r="B81" s="61"/>
      <c r="C81" s="197"/>
      <c r="D81" s="113"/>
      <c r="E81" s="113"/>
      <c r="F81" s="113"/>
    </row>
    <row r="82" spans="1:6" ht="31.5" customHeight="1">
      <c r="A82" s="63">
        <v>2</v>
      </c>
      <c r="B82" s="193" t="s">
        <v>99</v>
      </c>
      <c r="C82" s="201">
        <f>C83+C85+C86+C87</f>
        <v>670290</v>
      </c>
      <c r="D82" s="201">
        <f>D83+D85+D86+D87</f>
        <v>228402.5</v>
      </c>
      <c r="E82" s="201">
        <f>E83+E85+E86+E87</f>
        <v>338995.6</v>
      </c>
      <c r="F82" s="181">
        <f>F83+F85+F86+F87</f>
        <v>410722.26</v>
      </c>
    </row>
    <row r="83" spans="1:6" ht="15.75">
      <c r="A83" s="58" t="s">
        <v>38</v>
      </c>
      <c r="B83" s="194" t="s">
        <v>91</v>
      </c>
      <c r="C83" s="293">
        <v>151500</v>
      </c>
      <c r="D83" s="279">
        <f>C83/4</f>
        <v>37875</v>
      </c>
      <c r="E83" s="279">
        <f>C83/2</f>
        <v>75750</v>
      </c>
      <c r="F83" s="281">
        <f>C83/12*9</f>
        <v>113625</v>
      </c>
    </row>
    <row r="84" spans="1:6" ht="15.75">
      <c r="A84" s="58" t="s">
        <v>40</v>
      </c>
      <c r="B84" s="195" t="s">
        <v>92</v>
      </c>
      <c r="C84" s="293"/>
      <c r="D84" s="280"/>
      <c r="E84" s="280"/>
      <c r="F84" s="282"/>
    </row>
    <row r="85" spans="1:6" ht="15.75">
      <c r="A85" s="58" t="s">
        <v>42</v>
      </c>
      <c r="B85" s="190" t="s">
        <v>96</v>
      </c>
      <c r="C85" s="112">
        <v>414000</v>
      </c>
      <c r="D85" s="113">
        <v>155058</v>
      </c>
      <c r="E85" s="113">
        <v>202022.6</v>
      </c>
      <c r="F85" s="133">
        <v>212023</v>
      </c>
    </row>
    <row r="86" spans="1:6" ht="15.75">
      <c r="A86" s="58" t="s">
        <v>44</v>
      </c>
      <c r="B86" s="190" t="s">
        <v>94</v>
      </c>
      <c r="C86" s="112">
        <v>86340</v>
      </c>
      <c r="D86" s="113">
        <v>30857</v>
      </c>
      <c r="E86" s="113">
        <v>51998</v>
      </c>
      <c r="F86" s="133">
        <v>71236.76</v>
      </c>
    </row>
    <row r="87" spans="1:6" ht="16.5" thickBot="1">
      <c r="A87" s="60" t="s">
        <v>47</v>
      </c>
      <c r="B87" s="191" t="s">
        <v>98</v>
      </c>
      <c r="C87" s="199">
        <v>18450</v>
      </c>
      <c r="D87" s="159">
        <f>C87/4</f>
        <v>4612.5</v>
      </c>
      <c r="E87" s="159">
        <f>C87/2</f>
        <v>9225</v>
      </c>
      <c r="F87" s="150">
        <f>C87/12*9</f>
        <v>13837.5</v>
      </c>
    </row>
    <row r="88" spans="1:2" ht="12.75">
      <c r="A88" s="6"/>
      <c r="B88" s="64"/>
    </row>
    <row r="89" spans="2:6" s="65" customFormat="1" ht="12">
      <c r="B89" s="66"/>
      <c r="C89" s="153"/>
      <c r="D89" s="67"/>
      <c r="E89" s="67"/>
      <c r="F89" s="67"/>
    </row>
    <row r="90" spans="1:2" ht="22.5" customHeight="1">
      <c r="A90" s="269"/>
      <c r="B90" s="269"/>
    </row>
    <row r="91" spans="1:3" ht="31.5" customHeight="1">
      <c r="A91" s="269"/>
      <c r="B91" s="269"/>
      <c r="C91" s="188"/>
    </row>
    <row r="92" spans="1:3" ht="15" customHeight="1">
      <c r="A92" s="269"/>
      <c r="B92" s="269"/>
      <c r="C92" s="154"/>
    </row>
    <row r="93" spans="1:2" ht="15">
      <c r="A93" s="68"/>
      <c r="B93"/>
    </row>
    <row r="94" spans="1:2" ht="15.75" thickBot="1">
      <c r="A94" s="68" t="s">
        <v>103</v>
      </c>
      <c r="B94"/>
    </row>
    <row r="95" spans="1:6" ht="18.75" customHeight="1">
      <c r="A95" s="267" t="s">
        <v>2</v>
      </c>
      <c r="B95" s="270" t="s">
        <v>3</v>
      </c>
      <c r="C95" s="209" t="s">
        <v>179</v>
      </c>
      <c r="D95" s="275" t="s">
        <v>168</v>
      </c>
      <c r="E95" s="275" t="s">
        <v>169</v>
      </c>
      <c r="F95" s="277" t="s">
        <v>87</v>
      </c>
    </row>
    <row r="96" spans="1:6" ht="11.25" customHeight="1">
      <c r="A96" s="268"/>
      <c r="B96" s="271"/>
      <c r="C96" s="207"/>
      <c r="D96" s="276"/>
      <c r="E96" s="276"/>
      <c r="F96" s="278"/>
    </row>
    <row r="97" spans="1:6" ht="15.75">
      <c r="A97" s="126">
        <v>1</v>
      </c>
      <c r="B97" s="192">
        <v>2</v>
      </c>
      <c r="C97" s="207" t="s">
        <v>107</v>
      </c>
      <c r="D97" s="208"/>
      <c r="E97" s="208"/>
      <c r="F97" s="210"/>
    </row>
    <row r="98" spans="1:6" ht="47.25" customHeight="1">
      <c r="A98" s="126"/>
      <c r="B98" s="190" t="s">
        <v>104</v>
      </c>
      <c r="C98" s="206">
        <f>84738.21/1.18</f>
        <v>71812.04237288136</v>
      </c>
      <c r="D98" s="206">
        <f>D99+D100</f>
        <v>17401.754237288136</v>
      </c>
      <c r="E98" s="206">
        <f>E99+E100</f>
        <v>34803.516949152545</v>
      </c>
      <c r="F98" s="203">
        <f>F99+F100</f>
        <v>53307.77966101695</v>
      </c>
    </row>
    <row r="99" spans="1:6" ht="38.25" customHeight="1">
      <c r="A99" s="126"/>
      <c r="B99" s="190" t="s">
        <v>105</v>
      </c>
      <c r="C99" s="207">
        <f>C98-C100</f>
        <v>39265.262711864416</v>
      </c>
      <c r="D99" s="207">
        <f>11583.25/1.18</f>
        <v>9816.313559322034</v>
      </c>
      <c r="E99" s="207">
        <f>23166.51/1.18</f>
        <v>19632.635593220337</v>
      </c>
      <c r="F99" s="204">
        <f>34749.76/1.18</f>
        <v>29448.949152542376</v>
      </c>
    </row>
    <row r="100" spans="1:6" ht="37.5" customHeight="1" thickBot="1">
      <c r="A100" s="156"/>
      <c r="B100" s="191" t="s">
        <v>106</v>
      </c>
      <c r="C100" s="211">
        <f>38405.2/1.18</f>
        <v>32546.77966101695</v>
      </c>
      <c r="D100" s="211">
        <f>8950.82/1.18</f>
        <v>7585.440677966102</v>
      </c>
      <c r="E100" s="211">
        <f>17901.64/1.18</f>
        <v>15170.881355932204</v>
      </c>
      <c r="F100" s="205">
        <f>28153.42/1.18</f>
        <v>23858.830508474577</v>
      </c>
    </row>
    <row r="103" ht="12.75">
      <c r="B103" s="157"/>
    </row>
  </sheetData>
  <sheetProtection/>
  <mergeCells count="29">
    <mergeCell ref="A5:F5"/>
    <mergeCell ref="C75:C76"/>
    <mergeCell ref="C83:C84"/>
    <mergeCell ref="A95:A96"/>
    <mergeCell ref="A90:B90"/>
    <mergeCell ref="A91:B91"/>
    <mergeCell ref="A92:B92"/>
    <mergeCell ref="B95:B96"/>
    <mergeCell ref="B7:B8"/>
    <mergeCell ref="B69:B71"/>
    <mergeCell ref="A7:A8"/>
    <mergeCell ref="A69:A71"/>
    <mergeCell ref="C62:D62"/>
    <mergeCell ref="C63:D63"/>
    <mergeCell ref="E7:E8"/>
    <mergeCell ref="F7:F8"/>
    <mergeCell ref="D69:D70"/>
    <mergeCell ref="E69:E70"/>
    <mergeCell ref="F69:F70"/>
    <mergeCell ref="D7:D8"/>
    <mergeCell ref="D95:D96"/>
    <mergeCell ref="E95:E96"/>
    <mergeCell ref="F95:F96"/>
    <mergeCell ref="D75:D76"/>
    <mergeCell ref="E75:E76"/>
    <mergeCell ref="F75:F76"/>
    <mergeCell ref="D83:D84"/>
    <mergeCell ref="E83:E84"/>
    <mergeCell ref="F83:F84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4">
      <selection activeCell="D19" sqref="D19:E19"/>
    </sheetView>
  </sheetViews>
  <sheetFormatPr defaultColWidth="9.140625" defaultRowHeight="12.75"/>
  <cols>
    <col min="1" max="1" width="6.421875" style="1" customWidth="1"/>
    <col min="2" max="2" width="54.28125" style="8" customWidth="1"/>
    <col min="3" max="3" width="26.421875" style="125" customWidth="1"/>
    <col min="4" max="5" width="21.421875" style="125" customWidth="1"/>
    <col min="6" max="7" width="15.8515625" style="5" customWidth="1"/>
    <col min="8" max="8" width="14.8515625" style="5" customWidth="1"/>
    <col min="9" max="9" width="16.57421875" style="5" customWidth="1"/>
    <col min="10" max="11" width="16.421875" style="5" customWidth="1"/>
    <col min="12" max="12" width="14.8515625" style="6" customWidth="1"/>
    <col min="13" max="13" width="17.140625" style="261" customWidth="1"/>
    <col min="14" max="14" width="15.421875" style="230" customWidth="1"/>
    <col min="15" max="15" width="14.8515625" style="3" customWidth="1"/>
    <col min="16" max="16" width="14.8515625" style="4" customWidth="1"/>
    <col min="17" max="17" width="14.8515625" style="125" customWidth="1"/>
    <col min="18" max="20" width="14.8515625" style="6" customWidth="1"/>
    <col min="21" max="16384" width="9.140625" style="6" customWidth="1"/>
  </cols>
  <sheetData>
    <row r="1" spans="2:5" ht="15.75">
      <c r="B1" s="177" t="s">
        <v>244</v>
      </c>
      <c r="C1" s="224" t="s">
        <v>245</v>
      </c>
      <c r="D1" s="224"/>
      <c r="E1" s="224"/>
    </row>
    <row r="2" spans="2:5" ht="15.75">
      <c r="B2" s="177" t="s">
        <v>0</v>
      </c>
      <c r="C2" s="223" t="s">
        <v>246</v>
      </c>
      <c r="D2" s="223"/>
      <c r="E2" s="223"/>
    </row>
    <row r="3" spans="2:5" ht="15.75">
      <c r="B3" s="177" t="s">
        <v>1</v>
      </c>
      <c r="C3" s="223" t="s">
        <v>254</v>
      </c>
      <c r="D3" s="223"/>
      <c r="E3" s="223"/>
    </row>
    <row r="4" ht="15.75">
      <c r="B4" s="177" t="s">
        <v>236</v>
      </c>
    </row>
    <row r="5" spans="1:9" ht="40.5" customHeight="1">
      <c r="A5" s="292" t="s">
        <v>240</v>
      </c>
      <c r="B5" s="292"/>
      <c r="C5" s="292"/>
      <c r="D5" s="228"/>
      <c r="E5" s="228"/>
      <c r="H5" s="5" t="s">
        <v>250</v>
      </c>
      <c r="I5" s="259"/>
    </row>
    <row r="6" spans="7:10" ht="13.5" thickBot="1">
      <c r="G6" s="5">
        <f>G7-G10</f>
        <v>4254.610000000335</v>
      </c>
      <c r="I6" s="259"/>
      <c r="J6" s="5">
        <f>J7-J10</f>
        <v>3720.520000000135</v>
      </c>
    </row>
    <row r="7" spans="1:10" ht="16.5" customHeight="1">
      <c r="A7" s="287" t="s">
        <v>2</v>
      </c>
      <c r="B7" s="272" t="s">
        <v>3</v>
      </c>
      <c r="C7" s="127"/>
      <c r="D7" s="147"/>
      <c r="E7" s="147"/>
      <c r="G7" s="5">
        <v>1641454.55</v>
      </c>
      <c r="I7" s="259"/>
      <c r="J7" s="5">
        <v>767454.81</v>
      </c>
    </row>
    <row r="8" spans="1:15" ht="17.25" customHeight="1">
      <c r="A8" s="288"/>
      <c r="B8" s="273"/>
      <c r="C8" s="128" t="s">
        <v>177</v>
      </c>
      <c r="D8" s="245"/>
      <c r="E8" s="245"/>
      <c r="G8" s="5" t="s">
        <v>163</v>
      </c>
      <c r="I8" s="259"/>
      <c r="J8" s="5" t="s">
        <v>163</v>
      </c>
      <c r="N8" s="230" t="s">
        <v>251</v>
      </c>
      <c r="O8" s="3" t="s">
        <v>252</v>
      </c>
    </row>
    <row r="9" spans="1:17" s="2" customFormat="1" ht="15.75" customHeight="1">
      <c r="A9" s="129">
        <v>1</v>
      </c>
      <c r="B9" s="12" t="s">
        <v>5</v>
      </c>
      <c r="C9" s="130">
        <f>C11+C12+C13+C14+C15+C16+C17+C18+C19+C20+C21+C22+C23</f>
        <v>339330</v>
      </c>
      <c r="D9" s="246" t="s">
        <v>262</v>
      </c>
      <c r="E9" s="260" t="s">
        <v>263</v>
      </c>
      <c r="G9" s="15" t="s">
        <v>248</v>
      </c>
      <c r="H9" s="15"/>
      <c r="I9" s="260" t="s">
        <v>263</v>
      </c>
      <c r="J9" s="15" t="s">
        <v>249</v>
      </c>
      <c r="K9" s="15"/>
      <c r="M9" s="260" t="s">
        <v>263</v>
      </c>
      <c r="N9" s="231"/>
      <c r="O9" s="237"/>
      <c r="Q9" s="242"/>
    </row>
    <row r="10" spans="1:17" s="2" customFormat="1" ht="15.75" customHeight="1">
      <c r="A10" s="167"/>
      <c r="B10" s="103"/>
      <c r="C10" s="131"/>
      <c r="D10" s="247">
        <f>F10+K10</f>
        <v>12208.140152542372</v>
      </c>
      <c r="E10" s="247">
        <f>(I10+M10)/1000/1.18</f>
        <v>7261.950588354947</v>
      </c>
      <c r="F10" s="15">
        <f>F12+F13+F14+F15+F16+F17+F18+F19+F20+F21</f>
        <v>8324.745457627118</v>
      </c>
      <c r="G10" s="15">
        <f aca="true" t="shared" si="0" ref="G10:M10">G11+G12+G13+G14+G15+G16+G17+G18+G19+G20+G21</f>
        <v>1637199.9399999997</v>
      </c>
      <c r="H10" s="15">
        <f t="shared" si="0"/>
        <v>20507917.036618333</v>
      </c>
      <c r="I10" s="260">
        <f t="shared" si="0"/>
        <v>5343275.482235557</v>
      </c>
      <c r="J10" s="15">
        <f t="shared" si="0"/>
        <v>763734.2899999999</v>
      </c>
      <c r="K10" s="15">
        <f t="shared" si="0"/>
        <v>3883.394694915254</v>
      </c>
      <c r="L10" s="15">
        <f t="shared" si="0"/>
        <v>9572958.2433246</v>
      </c>
      <c r="M10" s="15">
        <f t="shared" si="0"/>
        <v>3225826.21202328</v>
      </c>
      <c r="N10" s="232">
        <f>H10+L10</f>
        <v>30080875.279942933</v>
      </c>
      <c r="O10" s="237">
        <f>N10/1.18/1000</f>
        <v>25492.267186392317</v>
      </c>
      <c r="Q10" s="242"/>
    </row>
    <row r="11" spans="1:15" ht="45" hidden="1">
      <c r="A11" s="132" t="s">
        <v>6</v>
      </c>
      <c r="B11" s="18" t="s">
        <v>7</v>
      </c>
      <c r="C11" s="133">
        <v>0</v>
      </c>
      <c r="D11" s="147"/>
      <c r="E11" s="247">
        <f aca="true" t="shared" si="1" ref="E11:E21">(I11+M11)/1000/1.18</f>
        <v>0</v>
      </c>
      <c r="G11" s="227"/>
      <c r="I11" s="259"/>
      <c r="N11" s="232"/>
      <c r="O11" s="237"/>
    </row>
    <row r="12" spans="1:17" ht="15.75">
      <c r="A12" s="134" t="s">
        <v>90</v>
      </c>
      <c r="B12" s="21" t="s">
        <v>9</v>
      </c>
      <c r="C12" s="133">
        <v>28884</v>
      </c>
      <c r="D12" s="147">
        <f>F12+K12</f>
        <v>1162.935559322034</v>
      </c>
      <c r="E12" s="247">
        <f t="shared" si="1"/>
        <v>652.5638450801696</v>
      </c>
      <c r="F12" s="5">
        <f>G12*6/1.18/1000</f>
        <v>1162.935559322034</v>
      </c>
      <c r="G12" s="5">
        <f>227235.1+1475.56</f>
        <v>228710.66</v>
      </c>
      <c r="H12" s="5">
        <f>G12*6+((G12*112.227/100)*6)</f>
        <v>2912314.6343892002</v>
      </c>
      <c r="I12" s="259">
        <f>((G12*112.227/100)*3)</f>
        <v>770025.3371946</v>
      </c>
      <c r="L12" s="5"/>
      <c r="M12" s="262"/>
      <c r="N12" s="232">
        <f aca="true" t="shared" si="2" ref="N12:N21">H12+L12</f>
        <v>2912314.6343892002</v>
      </c>
      <c r="O12" s="237">
        <f aca="true" t="shared" si="3" ref="O12:O21">N12/1.18/1000</f>
        <v>2468.063249482373</v>
      </c>
      <c r="P12" s="113">
        <v>26416</v>
      </c>
      <c r="Q12" s="125">
        <f>O12+P12</f>
        <v>28884.063249482373</v>
      </c>
    </row>
    <row r="13" spans="1:17" ht="31.5">
      <c r="A13" s="134" t="s">
        <v>30</v>
      </c>
      <c r="B13" s="21" t="s">
        <v>11</v>
      </c>
      <c r="C13" s="133">
        <v>137998</v>
      </c>
      <c r="D13" s="147">
        <f aca="true" t="shared" si="4" ref="D13:D21">F13+K13</f>
        <v>5479.380355932203</v>
      </c>
      <c r="E13" s="247">
        <f>(I13+M13)/1000/1.18</f>
        <v>2942.446428966839</v>
      </c>
      <c r="F13" s="5">
        <f aca="true" t="shared" si="5" ref="F13:F21">G13*6/1.18/1000</f>
        <v>2700.2592711864404</v>
      </c>
      <c r="G13" s="5">
        <f>17262.33+5245.01+6395.54+1925.91+483128.42+1300.36+15041.97+751.45</f>
        <v>531050.9899999999</v>
      </c>
      <c r="H13" s="5">
        <f>G13*6+((G13*107.4007/100)*6)</f>
        <v>6608420.823701579</v>
      </c>
      <c r="I13" s="259">
        <f>((G13*107.4007/100)*3)</f>
        <v>1711057.4418507898</v>
      </c>
      <c r="J13" s="5">
        <f>79769.14+21048.67+164023.56+46701.15+59145.81+175678.28+193.87</f>
        <v>546560.48</v>
      </c>
      <c r="K13" s="5">
        <f>J13*6/1.18/1000</f>
        <v>2779.121084745763</v>
      </c>
      <c r="L13" s="5">
        <f>J13*6+((J13*107.4007/100)*6)</f>
        <v>6801421.5686601605</v>
      </c>
      <c r="M13" s="262">
        <f>((J13*107.4007/100)*3)</f>
        <v>1761029.34433008</v>
      </c>
      <c r="N13" s="232">
        <f t="shared" si="2"/>
        <v>13409842.39236174</v>
      </c>
      <c r="O13" s="237">
        <f t="shared" si="3"/>
        <v>11364.273213865881</v>
      </c>
      <c r="P13" s="113">
        <v>124904</v>
      </c>
      <c r="Q13" s="125">
        <v>137997</v>
      </c>
    </row>
    <row r="14" spans="1:17" ht="15.75">
      <c r="A14" s="134" t="s">
        <v>93</v>
      </c>
      <c r="B14" s="21" t="s">
        <v>13</v>
      </c>
      <c r="C14" s="133">
        <v>71812</v>
      </c>
      <c r="D14" s="147">
        <f t="shared" si="4"/>
        <v>2895.747305084746</v>
      </c>
      <c r="E14" s="247">
        <f t="shared" si="1"/>
        <v>1602.3526918538646</v>
      </c>
      <c r="F14" s="5">
        <f t="shared" si="5"/>
        <v>2777.729338983051</v>
      </c>
      <c r="G14" s="5">
        <f>546286.47+0.3</f>
        <v>546286.77</v>
      </c>
      <c r="H14" s="5">
        <f>G14*6+((G14*106.3356/100)*6)</f>
        <v>6763104.507600721</v>
      </c>
      <c r="I14" s="259">
        <f>((G14*106.3356/100)*3)</f>
        <v>1742691.9438003602</v>
      </c>
      <c r="J14" s="5">
        <f>23210.2</f>
        <v>23210.2</v>
      </c>
      <c r="K14" s="5">
        <f aca="true" t="shared" si="6" ref="K14:K21">J14*6/1.18/1000</f>
        <v>118.01796610169492</v>
      </c>
      <c r="L14" s="5">
        <f>J14*6+((J14*106.3356/100)*6)</f>
        <v>287345.4325872</v>
      </c>
      <c r="M14" s="262">
        <f>((J14*106.3356/100)*6)</f>
        <v>148084.2325872</v>
      </c>
      <c r="N14" s="232">
        <f t="shared" si="2"/>
        <v>7050449.940187921</v>
      </c>
      <c r="O14" s="237">
        <f t="shared" si="3"/>
        <v>5974.957576430442</v>
      </c>
      <c r="P14" s="113">
        <v>67507</v>
      </c>
      <c r="Q14" s="125">
        <v>71812</v>
      </c>
    </row>
    <row r="15" spans="1:17" ht="15.75">
      <c r="A15" s="134" t="s">
        <v>95</v>
      </c>
      <c r="B15" s="21" t="s">
        <v>15</v>
      </c>
      <c r="C15" s="133">
        <v>21274</v>
      </c>
      <c r="D15" s="147">
        <f t="shared" si="4"/>
        <v>1391.1566440677966</v>
      </c>
      <c r="E15" s="247">
        <f t="shared" si="1"/>
        <v>1173.0381094807628</v>
      </c>
      <c r="F15" s="5">
        <f t="shared" si="5"/>
        <v>833.6592203389832</v>
      </c>
      <c r="G15" s="5">
        <v>163952.98</v>
      </c>
      <c r="H15" s="5">
        <f>G15*6+((G15*120.3947/100)*6)</f>
        <v>2168062.0704723606</v>
      </c>
      <c r="I15" s="259">
        <f>((G15*120.3947/100)*3)</f>
        <v>592172.0952361801</v>
      </c>
      <c r="J15" s="5">
        <f>104384.2+604.61+1425.52+1995.72+427.66+803.45</f>
        <v>109641.16</v>
      </c>
      <c r="K15" s="5">
        <f t="shared" si="6"/>
        <v>557.4974237288135</v>
      </c>
      <c r="L15" s="5">
        <f>J15*6+((J15*120.3947/100)*6)</f>
        <v>1449859.83395112</v>
      </c>
      <c r="M15" s="262">
        <f>((J15*120.3947/100)*6)</f>
        <v>792012.8739511201</v>
      </c>
      <c r="N15" s="232">
        <f t="shared" si="2"/>
        <v>3617921.904423481</v>
      </c>
      <c r="O15" s="237">
        <f t="shared" si="3"/>
        <v>3066.035512223289</v>
      </c>
      <c r="P15" s="113">
        <v>18208</v>
      </c>
      <c r="Q15" s="125">
        <f aca="true" t="shared" si="7" ref="Q15:Q23">O15+P15</f>
        <v>21274.03551222329</v>
      </c>
    </row>
    <row r="16" spans="1:17" ht="15.75">
      <c r="A16" s="134" t="s">
        <v>255</v>
      </c>
      <c r="B16" s="21" t="s">
        <v>17</v>
      </c>
      <c r="C16" s="133">
        <v>6383</v>
      </c>
      <c r="D16" s="147">
        <f t="shared" si="4"/>
        <v>442.75438983050856</v>
      </c>
      <c r="E16" s="247">
        <f t="shared" si="1"/>
        <v>452.68453246927123</v>
      </c>
      <c r="F16" s="5">
        <f t="shared" si="5"/>
        <v>19.882423728813563</v>
      </c>
      <c r="G16" s="5">
        <v>3910.21</v>
      </c>
      <c r="H16" s="5">
        <f>G16*6+((G16*104.4117/100)*6)</f>
        <v>47957.56040742</v>
      </c>
      <c r="I16" s="259">
        <f>((G16*112.227/100)*3)</f>
        <v>13164.934130100002</v>
      </c>
      <c r="J16" s="5">
        <f>74789.8+8375.02</f>
        <v>83164.82</v>
      </c>
      <c r="K16" s="5">
        <f t="shared" si="6"/>
        <v>422.87196610169497</v>
      </c>
      <c r="L16" s="5">
        <f>J16*6+((J16*104.4117/100)*6)</f>
        <v>1019991.7341836401</v>
      </c>
      <c r="M16" s="262">
        <f>((J16*104.4117/100)*6)</f>
        <v>521002.81418364006</v>
      </c>
      <c r="N16" s="232">
        <f t="shared" si="2"/>
        <v>1067949.2945910601</v>
      </c>
      <c r="O16" s="237">
        <f t="shared" si="3"/>
        <v>905.0417750771696</v>
      </c>
      <c r="P16" s="113">
        <v>5478</v>
      </c>
      <c r="Q16" s="125">
        <f t="shared" si="7"/>
        <v>6383.041775077169</v>
      </c>
    </row>
    <row r="17" spans="1:17" ht="15.75">
      <c r="A17" s="134" t="s">
        <v>97</v>
      </c>
      <c r="B17" s="21" t="s">
        <v>19</v>
      </c>
      <c r="C17" s="133">
        <v>129</v>
      </c>
      <c r="D17" s="147">
        <f t="shared" si="4"/>
        <v>0.1970847457627119</v>
      </c>
      <c r="E17" s="247">
        <f t="shared" si="1"/>
        <v>0.09854237288135594</v>
      </c>
      <c r="F17" s="5">
        <f t="shared" si="5"/>
        <v>0.1970847457627119</v>
      </c>
      <c r="G17" s="5">
        <v>38.76</v>
      </c>
      <c r="H17" s="5">
        <f>G17*12</f>
        <v>465.12</v>
      </c>
      <c r="I17" s="259">
        <f>G17*3</f>
        <v>116.28</v>
      </c>
      <c r="L17" s="5"/>
      <c r="M17" s="262"/>
      <c r="N17" s="232">
        <f t="shared" si="2"/>
        <v>465.12</v>
      </c>
      <c r="O17" s="237">
        <f t="shared" si="3"/>
        <v>0.3941694915254238</v>
      </c>
      <c r="P17" s="113">
        <v>129</v>
      </c>
      <c r="Q17" s="125">
        <f t="shared" si="7"/>
        <v>129.39416949152542</v>
      </c>
    </row>
    <row r="18" spans="1:17" ht="15.75">
      <c r="A18" s="134" t="s">
        <v>256</v>
      </c>
      <c r="B18" s="21" t="s">
        <v>21</v>
      </c>
      <c r="C18" s="133">
        <v>720</v>
      </c>
      <c r="D18" s="147">
        <f t="shared" si="4"/>
        <v>39.5997966101695</v>
      </c>
      <c r="E18" s="247">
        <f t="shared" si="1"/>
        <v>19.79989830508475</v>
      </c>
      <c r="F18" s="5">
        <f t="shared" si="5"/>
        <v>39.5997966101695</v>
      </c>
      <c r="G18" s="5">
        <v>7787.96</v>
      </c>
      <c r="H18" s="5">
        <f>G18*12</f>
        <v>93455.52</v>
      </c>
      <c r="I18" s="259">
        <f>G18*3</f>
        <v>23363.88</v>
      </c>
      <c r="L18" s="5"/>
      <c r="M18" s="262"/>
      <c r="N18" s="232">
        <f t="shared" si="2"/>
        <v>93455.52</v>
      </c>
      <c r="O18" s="237">
        <f t="shared" si="3"/>
        <v>79.199593220339</v>
      </c>
      <c r="P18" s="113">
        <v>641</v>
      </c>
      <c r="Q18" s="125">
        <f t="shared" si="7"/>
        <v>720.199593220339</v>
      </c>
    </row>
    <row r="19" spans="1:17" ht="31.5">
      <c r="A19" s="134" t="s">
        <v>257</v>
      </c>
      <c r="B19" s="21" t="s">
        <v>23</v>
      </c>
      <c r="C19" s="133">
        <v>6513</v>
      </c>
      <c r="D19" s="147">
        <f t="shared" si="4"/>
        <v>238.8875084745763</v>
      </c>
      <c r="E19" s="247">
        <f t="shared" si="1"/>
        <v>124.9564418266017</v>
      </c>
      <c r="F19" s="5">
        <f t="shared" si="5"/>
        <v>238.8875084745763</v>
      </c>
      <c r="G19" s="5">
        <v>46981.21</v>
      </c>
      <c r="H19" s="5">
        <f>G19*6+((G19*104.6153/100)*6)</f>
        <v>576784.46271078</v>
      </c>
      <c r="I19" s="259">
        <f>((G19*104.6153/100)*3)</f>
        <v>147448.60135538998</v>
      </c>
      <c r="L19" s="5"/>
      <c r="M19" s="262"/>
      <c r="N19" s="232">
        <f t="shared" si="2"/>
        <v>576784.46271078</v>
      </c>
      <c r="O19" s="237">
        <f t="shared" si="3"/>
        <v>488.8003921277797</v>
      </c>
      <c r="P19" s="113">
        <v>6024</v>
      </c>
      <c r="Q19" s="125">
        <f t="shared" si="7"/>
        <v>6512.80039212778</v>
      </c>
    </row>
    <row r="20" spans="1:17" ht="15.75">
      <c r="A20" s="134" t="s">
        <v>258</v>
      </c>
      <c r="B20" s="21" t="s">
        <v>25</v>
      </c>
      <c r="C20" s="133">
        <v>15339</v>
      </c>
      <c r="D20" s="147">
        <f t="shared" si="4"/>
        <v>309.8274406779661</v>
      </c>
      <c r="E20" s="247">
        <f t="shared" si="1"/>
        <v>162.19423918218433</v>
      </c>
      <c r="F20" s="5">
        <f t="shared" si="5"/>
        <v>309.8274406779661</v>
      </c>
      <c r="G20" s="5">
        <v>60932.73</v>
      </c>
      <c r="H20" s="5">
        <f>G20*6+((G20*104.699725/100)*6)</f>
        <v>748374.784469955</v>
      </c>
      <c r="I20" s="259">
        <f>((G20*104.699725/100)*3)</f>
        <v>191389.2022349775</v>
      </c>
      <c r="L20" s="5"/>
      <c r="M20" s="262"/>
      <c r="N20" s="232">
        <f t="shared" si="2"/>
        <v>748374.784469955</v>
      </c>
      <c r="O20" s="237">
        <f t="shared" si="3"/>
        <v>634.2159190423348</v>
      </c>
      <c r="P20" s="113">
        <v>14705</v>
      </c>
      <c r="Q20" s="125">
        <f t="shared" si="7"/>
        <v>15339.215919042335</v>
      </c>
    </row>
    <row r="21" spans="1:17" ht="15.75">
      <c r="A21" s="134" t="s">
        <v>259</v>
      </c>
      <c r="B21" s="21" t="s">
        <v>27</v>
      </c>
      <c r="C21" s="133">
        <v>5752</v>
      </c>
      <c r="D21" s="147">
        <f t="shared" si="4"/>
        <v>247.6540677966102</v>
      </c>
      <c r="E21" s="247">
        <f t="shared" si="1"/>
        <v>131.81585881728813</v>
      </c>
      <c r="F21" s="5">
        <f t="shared" si="5"/>
        <v>241.76781355932206</v>
      </c>
      <c r="G21" s="5">
        <f>42951.87+4493.74+102.06</f>
        <v>47547.67</v>
      </c>
      <c r="H21" s="5">
        <f>G21*6+((G21*106.4516/100)*6)</f>
        <v>588977.55286632</v>
      </c>
      <c r="I21" s="259">
        <f>((G21*106.4516/100)*3)</f>
        <v>151845.76643316</v>
      </c>
      <c r="J21" s="5">
        <f>411.98+745.65</f>
        <v>1157.63</v>
      </c>
      <c r="K21" s="5">
        <f t="shared" si="6"/>
        <v>5.886254237288136</v>
      </c>
      <c r="L21" s="5">
        <f>J21*6+((J21*106.4516/100)*6)</f>
        <v>14339.673942480002</v>
      </c>
      <c r="M21" s="262">
        <f>((J21*106.4516/100)*3)</f>
        <v>3696.9469712400005</v>
      </c>
      <c r="N21" s="232">
        <f t="shared" si="2"/>
        <v>603317.2268088</v>
      </c>
      <c r="O21" s="237">
        <f t="shared" si="3"/>
        <v>511.28578543118647</v>
      </c>
      <c r="P21" s="113">
        <v>5241</v>
      </c>
      <c r="Q21" s="125">
        <f t="shared" si="7"/>
        <v>5752.285785431186</v>
      </c>
    </row>
    <row r="22" spans="1:17" ht="15.75">
      <c r="A22" s="134" t="s">
        <v>260</v>
      </c>
      <c r="B22" s="9" t="s">
        <v>29</v>
      </c>
      <c r="C22" s="133">
        <v>19880</v>
      </c>
      <c r="D22" s="147"/>
      <c r="E22" s="147"/>
      <c r="I22" s="259"/>
      <c r="L22" s="5"/>
      <c r="M22" s="262"/>
      <c r="N22" s="232"/>
      <c r="P22" s="113">
        <v>19880</v>
      </c>
      <c r="Q22" s="125">
        <f t="shared" si="7"/>
        <v>19880</v>
      </c>
    </row>
    <row r="23" spans="1:17" ht="15.75">
      <c r="A23" s="135" t="s">
        <v>261</v>
      </c>
      <c r="B23" s="23" t="s">
        <v>31</v>
      </c>
      <c r="C23" s="136">
        <f>C24+C25</f>
        <v>24646</v>
      </c>
      <c r="D23" s="248"/>
      <c r="E23" s="248"/>
      <c r="N23" s="232"/>
      <c r="P23" s="118">
        <f>P24+P25</f>
        <v>24646</v>
      </c>
      <c r="Q23" s="125">
        <f t="shared" si="7"/>
        <v>24646</v>
      </c>
    </row>
    <row r="24" spans="1:16" ht="15.75">
      <c r="A24" s="134"/>
      <c r="B24" s="24" t="s">
        <v>33</v>
      </c>
      <c r="C24" s="133">
        <v>1860</v>
      </c>
      <c r="D24" s="147"/>
      <c r="E24" s="147"/>
      <c r="P24" s="113">
        <v>1860</v>
      </c>
    </row>
    <row r="25" spans="1:16" ht="15.75">
      <c r="A25" s="137"/>
      <c r="B25" s="26" t="s">
        <v>35</v>
      </c>
      <c r="C25" s="133">
        <v>22786</v>
      </c>
      <c r="D25" s="147"/>
      <c r="E25" s="147"/>
      <c r="P25" s="116">
        <v>22786</v>
      </c>
    </row>
    <row r="26" spans="1:17" s="2" customFormat="1" ht="15.75">
      <c r="A26" s="138" t="s">
        <v>36</v>
      </c>
      <c r="B26" s="12" t="s">
        <v>37</v>
      </c>
      <c r="C26" s="130">
        <f>C27+C28+C29+C30+C31+C32</f>
        <v>298433.381</v>
      </c>
      <c r="D26" s="246"/>
      <c r="E26" s="246"/>
      <c r="F26" s="15"/>
      <c r="G26" s="15"/>
      <c r="H26" s="15"/>
      <c r="I26" s="15"/>
      <c r="J26" s="15"/>
      <c r="K26" s="15"/>
      <c r="M26" s="263"/>
      <c r="N26" s="231"/>
      <c r="O26" s="237"/>
      <c r="P26" s="222"/>
      <c r="Q26" s="242"/>
    </row>
    <row r="27" spans="1:5" ht="15.75">
      <c r="A27" s="139" t="s">
        <v>38</v>
      </c>
      <c r="B27" s="24" t="s">
        <v>39</v>
      </c>
      <c r="C27" s="133">
        <f>104733.941+31630</f>
        <v>136363.941</v>
      </c>
      <c r="D27" s="147"/>
      <c r="E27" s="147"/>
    </row>
    <row r="28" spans="1:5" ht="15.75">
      <c r="A28" s="139" t="s">
        <v>40</v>
      </c>
      <c r="B28" s="24" t="s">
        <v>41</v>
      </c>
      <c r="C28" s="140">
        <v>13000</v>
      </c>
      <c r="D28" s="249"/>
      <c r="E28" s="249"/>
    </row>
    <row r="29" spans="1:5" ht="15.75" hidden="1">
      <c r="A29" s="139" t="s">
        <v>42</v>
      </c>
      <c r="B29" s="24" t="s">
        <v>43</v>
      </c>
      <c r="C29" s="133"/>
      <c r="D29" s="147"/>
      <c r="E29" s="147"/>
    </row>
    <row r="30" spans="1:5" ht="15.75">
      <c r="A30" s="139" t="s">
        <v>44</v>
      </c>
      <c r="B30" s="24" t="s">
        <v>45</v>
      </c>
      <c r="C30" s="133">
        <v>742</v>
      </c>
      <c r="D30" s="147"/>
      <c r="E30" s="147"/>
    </row>
    <row r="31" spans="1:5" ht="15.75">
      <c r="A31" s="139" t="s">
        <v>46</v>
      </c>
      <c r="B31" s="24" t="s">
        <v>74</v>
      </c>
      <c r="C31" s="133">
        <v>11606</v>
      </c>
      <c r="D31" s="147"/>
      <c r="E31" s="147"/>
    </row>
    <row r="32" spans="1:5" ht="31.5">
      <c r="A32" s="161" t="s">
        <v>47</v>
      </c>
      <c r="B32" s="162" t="s">
        <v>48</v>
      </c>
      <c r="C32" s="163">
        <f>C33+C34+C35+C36+C37+C38</f>
        <v>136721.44</v>
      </c>
      <c r="D32" s="250"/>
      <c r="E32" s="250"/>
    </row>
    <row r="33" spans="1:5" ht="31.5">
      <c r="A33" s="139" t="s">
        <v>49</v>
      </c>
      <c r="B33" s="24" t="s">
        <v>50</v>
      </c>
      <c r="C33" s="244">
        <v>6513</v>
      </c>
      <c r="D33" s="251"/>
      <c r="E33" s="251"/>
    </row>
    <row r="34" spans="1:5" ht="15.75">
      <c r="A34" s="139" t="s">
        <v>51</v>
      </c>
      <c r="B34" s="24" t="s">
        <v>52</v>
      </c>
      <c r="C34" s="140">
        <v>32547</v>
      </c>
      <c r="D34" s="249"/>
      <c r="E34" s="249"/>
    </row>
    <row r="35" spans="1:5" ht="15.75">
      <c r="A35" s="139" t="s">
        <v>53</v>
      </c>
      <c r="B35" s="24" t="s">
        <v>54</v>
      </c>
      <c r="C35" s="141">
        <v>48941.9</v>
      </c>
      <c r="D35" s="252"/>
      <c r="E35" s="252"/>
    </row>
    <row r="36" spans="1:5" ht="31.5">
      <c r="A36" s="139" t="s">
        <v>55</v>
      </c>
      <c r="B36" s="24" t="s">
        <v>56</v>
      </c>
      <c r="C36" s="140">
        <v>15339</v>
      </c>
      <c r="D36" s="249"/>
      <c r="E36" s="249"/>
    </row>
    <row r="37" spans="1:5" ht="15.75">
      <c r="A37" s="139" t="s">
        <v>57</v>
      </c>
      <c r="B37" s="24" t="s">
        <v>58</v>
      </c>
      <c r="C37" s="133">
        <v>16813</v>
      </c>
      <c r="D37" s="147"/>
      <c r="E37" s="147"/>
    </row>
    <row r="38" spans="1:5" ht="15.75">
      <c r="A38" s="132" t="s">
        <v>59</v>
      </c>
      <c r="B38" s="29" t="s">
        <v>60</v>
      </c>
      <c r="C38" s="133">
        <v>16567.54</v>
      </c>
      <c r="D38" s="147"/>
      <c r="E38" s="147"/>
    </row>
    <row r="39" spans="1:5" ht="15.75">
      <c r="A39" s="142">
        <v>3</v>
      </c>
      <c r="B39" s="31" t="s">
        <v>61</v>
      </c>
      <c r="C39" s="143">
        <f>C9-C26</f>
        <v>40896.619000000006</v>
      </c>
      <c r="D39" s="253"/>
      <c r="E39" s="253"/>
    </row>
    <row r="40" spans="1:5" ht="15.75">
      <c r="A40" s="144">
        <v>4</v>
      </c>
      <c r="B40" s="33" t="s">
        <v>62</v>
      </c>
      <c r="C40" s="133"/>
      <c r="D40" s="147"/>
      <c r="E40" s="147"/>
    </row>
    <row r="41" spans="1:5" ht="60">
      <c r="A41" s="144">
        <v>5</v>
      </c>
      <c r="B41" s="34" t="s">
        <v>63</v>
      </c>
      <c r="C41" s="133">
        <v>37016</v>
      </c>
      <c r="D41" s="147"/>
      <c r="E41" s="147"/>
    </row>
    <row r="42" spans="1:5" ht="31.5">
      <c r="A42" s="142">
        <v>6</v>
      </c>
      <c r="B42" s="31" t="s">
        <v>64</v>
      </c>
      <c r="C42" s="143">
        <f>C39-C41</f>
        <v>3880.619000000006</v>
      </c>
      <c r="D42" s="253"/>
      <c r="E42" s="253"/>
    </row>
    <row r="43" spans="1:5" ht="15.75">
      <c r="A43" s="144">
        <v>7</v>
      </c>
      <c r="B43" s="33" t="s">
        <v>65</v>
      </c>
      <c r="C43" s="133"/>
      <c r="D43" s="147"/>
      <c r="E43" s="147"/>
    </row>
    <row r="44" spans="1:5" ht="15.75">
      <c r="A44" s="144">
        <v>8</v>
      </c>
      <c r="B44" s="33" t="s">
        <v>66</v>
      </c>
      <c r="C44" s="133"/>
      <c r="D44" s="147"/>
      <c r="E44" s="147"/>
    </row>
    <row r="45" spans="1:17" s="42" customFormat="1" ht="15.75">
      <c r="A45" s="168">
        <v>9</v>
      </c>
      <c r="B45" s="169" t="s">
        <v>67</v>
      </c>
      <c r="C45" s="145">
        <f>C47+C48</f>
        <v>10000</v>
      </c>
      <c r="D45" s="254"/>
      <c r="E45" s="254"/>
      <c r="F45" s="78"/>
      <c r="G45" s="78"/>
      <c r="H45" s="78"/>
      <c r="I45" s="78"/>
      <c r="J45" s="78"/>
      <c r="K45" s="78"/>
      <c r="M45" s="264"/>
      <c r="N45" s="233"/>
      <c r="O45" s="238"/>
      <c r="P45" s="241"/>
      <c r="Q45" s="243"/>
    </row>
    <row r="46" spans="1:5" ht="15.75">
      <c r="A46" s="58" t="s">
        <v>68</v>
      </c>
      <c r="B46" s="37" t="s">
        <v>69</v>
      </c>
      <c r="C46" s="133"/>
      <c r="D46" s="147"/>
      <c r="E46" s="147"/>
    </row>
    <row r="47" spans="1:5" ht="15.75">
      <c r="A47" s="58" t="s">
        <v>70</v>
      </c>
      <c r="B47" s="38" t="s">
        <v>71</v>
      </c>
      <c r="C47" s="133">
        <v>6000</v>
      </c>
      <c r="D47" s="147"/>
      <c r="E47" s="147"/>
    </row>
    <row r="48" spans="1:5" ht="15.75">
      <c r="A48" s="58" t="s">
        <v>72</v>
      </c>
      <c r="B48" s="24" t="s">
        <v>73</v>
      </c>
      <c r="C48" s="133">
        <v>4000</v>
      </c>
      <c r="D48" s="147"/>
      <c r="E48" s="147"/>
    </row>
    <row r="49" spans="1:5" ht="15.75">
      <c r="A49" s="58"/>
      <c r="B49" s="39"/>
      <c r="C49" s="133"/>
      <c r="D49" s="147"/>
      <c r="E49" s="147"/>
    </row>
    <row r="50" spans="1:17" s="42" customFormat="1" ht="15.75">
      <c r="A50" s="168">
        <v>10</v>
      </c>
      <c r="B50" s="169" t="s">
        <v>74</v>
      </c>
      <c r="C50" s="145">
        <f>C51+C52+C53+C54</f>
        <v>10000</v>
      </c>
      <c r="D50" s="254"/>
      <c r="E50" s="254"/>
      <c r="F50" s="78"/>
      <c r="G50" s="78"/>
      <c r="H50" s="78"/>
      <c r="I50" s="78"/>
      <c r="J50" s="78"/>
      <c r="K50" s="78"/>
      <c r="M50" s="264"/>
      <c r="N50" s="233"/>
      <c r="O50" s="238"/>
      <c r="P50" s="241"/>
      <c r="Q50" s="243"/>
    </row>
    <row r="51" spans="1:5" ht="15.75">
      <c r="A51" s="146" t="s">
        <v>75</v>
      </c>
      <c r="B51" s="39" t="s">
        <v>76</v>
      </c>
      <c r="C51" s="133">
        <v>6000</v>
      </c>
      <c r="D51" s="147"/>
      <c r="E51" s="147"/>
    </row>
    <row r="52" spans="1:5" ht="15.75">
      <c r="A52" s="146" t="s">
        <v>77</v>
      </c>
      <c r="B52" s="39" t="s">
        <v>78</v>
      </c>
      <c r="C52" s="133">
        <v>400</v>
      </c>
      <c r="D52" s="147"/>
      <c r="E52" s="147"/>
    </row>
    <row r="53" spans="1:5" ht="15.75">
      <c r="A53" s="146" t="s">
        <v>79</v>
      </c>
      <c r="B53" s="39" t="s">
        <v>80</v>
      </c>
      <c r="C53" s="133">
        <v>2000</v>
      </c>
      <c r="D53" s="147"/>
      <c r="E53" s="147"/>
    </row>
    <row r="54" spans="1:5" ht="15.75">
      <c r="A54" s="58" t="s">
        <v>81</v>
      </c>
      <c r="B54" s="39" t="s">
        <v>60</v>
      </c>
      <c r="C54" s="133">
        <v>1600</v>
      </c>
      <c r="D54" s="147"/>
      <c r="E54" s="147"/>
    </row>
    <row r="55" spans="1:17" s="42" customFormat="1" ht="28.5">
      <c r="A55" s="142">
        <v>11</v>
      </c>
      <c r="B55" s="41" t="s">
        <v>82</v>
      </c>
      <c r="C55" s="143">
        <f>C42+C43-C44+C45-C50</f>
        <v>3880.619000000006</v>
      </c>
      <c r="D55" s="253"/>
      <c r="E55" s="253"/>
      <c r="F55" s="78"/>
      <c r="G55" s="78"/>
      <c r="H55" s="78"/>
      <c r="I55" s="78"/>
      <c r="J55" s="78"/>
      <c r="K55" s="78"/>
      <c r="M55" s="264"/>
      <c r="N55" s="233"/>
      <c r="O55" s="238"/>
      <c r="P55" s="241"/>
      <c r="Q55" s="243"/>
    </row>
    <row r="56" spans="1:5" ht="15.75">
      <c r="A56" s="144">
        <v>12</v>
      </c>
      <c r="B56" s="33" t="s">
        <v>83</v>
      </c>
      <c r="C56" s="133">
        <v>776</v>
      </c>
      <c r="D56" s="147"/>
      <c r="E56" s="147"/>
    </row>
    <row r="57" spans="1:5" ht="47.25" customHeight="1">
      <c r="A57" s="144">
        <v>13</v>
      </c>
      <c r="B57" s="43" t="s">
        <v>84</v>
      </c>
      <c r="C57" s="133"/>
      <c r="D57" s="147"/>
      <c r="E57" s="147"/>
    </row>
    <row r="58" spans="1:17" s="5" customFormat="1" ht="16.5" thickBot="1">
      <c r="A58" s="164">
        <v>14</v>
      </c>
      <c r="B58" s="165" t="s">
        <v>85</v>
      </c>
      <c r="C58" s="166">
        <f>C55-C56</f>
        <v>3104.619000000006</v>
      </c>
      <c r="D58" s="255"/>
      <c r="E58" s="255"/>
      <c r="M58" s="262"/>
      <c r="N58" s="234"/>
      <c r="O58" s="3"/>
      <c r="P58" s="3"/>
      <c r="Q58" s="125"/>
    </row>
    <row r="59" spans="1:17" s="5" customFormat="1" ht="15.75">
      <c r="A59" s="45"/>
      <c r="B59" s="46"/>
      <c r="C59" s="125"/>
      <c r="D59" s="125"/>
      <c r="E59" s="125"/>
      <c r="M59" s="262"/>
      <c r="N59" s="234"/>
      <c r="O59" s="3"/>
      <c r="P59" s="3"/>
      <c r="Q59" s="125"/>
    </row>
    <row r="60" spans="1:17" s="5" customFormat="1" ht="15.75">
      <c r="A60" s="45"/>
      <c r="B60" s="46"/>
      <c r="C60" s="125"/>
      <c r="D60" s="125"/>
      <c r="E60" s="125"/>
      <c r="M60" s="262"/>
      <c r="N60" s="234"/>
      <c r="O60" s="3"/>
      <c r="P60" s="3"/>
      <c r="Q60" s="125"/>
    </row>
    <row r="61" spans="1:17" s="5" customFormat="1" ht="15.75">
      <c r="A61" s="45"/>
      <c r="B61" s="188" t="s">
        <v>100</v>
      </c>
      <c r="C61" s="160" t="s">
        <v>101</v>
      </c>
      <c r="D61" s="160"/>
      <c r="E61" s="160"/>
      <c r="M61" s="262"/>
      <c r="N61" s="234"/>
      <c r="O61" s="3"/>
      <c r="P61" s="3"/>
      <c r="Q61" s="125"/>
    </row>
    <row r="62" spans="1:17" s="5" customFormat="1" ht="31.5" customHeight="1">
      <c r="A62" s="45"/>
      <c r="B62" s="188" t="s">
        <v>102</v>
      </c>
      <c r="C62" s="188" t="s">
        <v>102</v>
      </c>
      <c r="D62" s="188"/>
      <c r="E62" s="188"/>
      <c r="M62" s="262"/>
      <c r="N62" s="234"/>
      <c r="O62" s="3"/>
      <c r="P62" s="3"/>
      <c r="Q62" s="125"/>
    </row>
    <row r="63" spans="1:17" s="5" customFormat="1" ht="36.75" customHeight="1">
      <c r="A63" s="45"/>
      <c r="B63" s="216" t="s">
        <v>237</v>
      </c>
      <c r="C63" s="229" t="s">
        <v>253</v>
      </c>
      <c r="D63" s="229"/>
      <c r="E63" s="229"/>
      <c r="M63" s="262"/>
      <c r="N63" s="234"/>
      <c r="O63" s="3"/>
      <c r="P63" s="3"/>
      <c r="Q63" s="125"/>
    </row>
    <row r="64" spans="1:2" ht="15.75">
      <c r="A64" s="48"/>
      <c r="B64" s="49"/>
    </row>
    <row r="65" spans="1:17" s="53" customFormat="1" ht="12.75">
      <c r="A65" s="50"/>
      <c r="B65" s="51"/>
      <c r="C65" s="147"/>
      <c r="D65" s="147"/>
      <c r="E65" s="147"/>
      <c r="F65" s="225"/>
      <c r="G65" s="225"/>
      <c r="H65" s="225"/>
      <c r="I65" s="225"/>
      <c r="J65" s="225"/>
      <c r="K65" s="225"/>
      <c r="M65" s="265"/>
      <c r="N65" s="235"/>
      <c r="O65" s="239"/>
      <c r="P65" s="52"/>
      <c r="Q65" s="147"/>
    </row>
    <row r="66" spans="1:17" s="53" customFormat="1" ht="12.75">
      <c r="A66" s="50"/>
      <c r="B66" s="51"/>
      <c r="C66" s="147"/>
      <c r="D66" s="147"/>
      <c r="E66" s="147"/>
      <c r="F66" s="225"/>
      <c r="G66" s="225"/>
      <c r="H66" s="225"/>
      <c r="I66" s="225"/>
      <c r="J66" s="225"/>
      <c r="K66" s="225"/>
      <c r="M66" s="265"/>
      <c r="N66" s="235"/>
      <c r="O66" s="239"/>
      <c r="P66" s="52"/>
      <c r="Q66" s="147"/>
    </row>
    <row r="67" spans="1:17" s="53" customFormat="1" ht="12.75">
      <c r="A67" s="50"/>
      <c r="B67" s="51" t="s">
        <v>86</v>
      </c>
      <c r="C67" s="147"/>
      <c r="D67" s="147"/>
      <c r="E67" s="147"/>
      <c r="F67" s="225"/>
      <c r="G67" s="225"/>
      <c r="H67" s="225"/>
      <c r="I67" s="225"/>
      <c r="J67" s="225"/>
      <c r="K67" s="225"/>
      <c r="M67" s="265"/>
      <c r="N67" s="235"/>
      <c r="O67" s="239"/>
      <c r="P67" s="52"/>
      <c r="Q67" s="147"/>
    </row>
    <row r="68" spans="1:5" ht="19.5" customHeight="1">
      <c r="A68" s="289" t="s">
        <v>2</v>
      </c>
      <c r="B68" s="274" t="s">
        <v>3</v>
      </c>
      <c r="C68" s="113" t="s">
        <v>178</v>
      </c>
      <c r="D68" s="147"/>
      <c r="E68" s="147"/>
    </row>
    <row r="69" spans="1:5" ht="19.5" customHeight="1">
      <c r="A69" s="289"/>
      <c r="B69" s="294"/>
      <c r="C69" s="113" t="s">
        <v>107</v>
      </c>
      <c r="D69" s="147"/>
      <c r="E69" s="147"/>
    </row>
    <row r="70" spans="1:5" ht="12.75" customHeight="1" hidden="1">
      <c r="A70" s="289"/>
      <c r="B70" s="295"/>
      <c r="C70" s="113"/>
      <c r="D70" s="147"/>
      <c r="E70" s="147"/>
    </row>
    <row r="71" spans="1:5" ht="12.75" customHeight="1" hidden="1">
      <c r="A71" s="56"/>
      <c r="B71" s="55"/>
      <c r="C71" s="113"/>
      <c r="D71" s="147"/>
      <c r="E71" s="147"/>
    </row>
    <row r="72" spans="1:5" ht="16.5" thickBot="1">
      <c r="A72" s="56">
        <v>1</v>
      </c>
      <c r="B72" s="54"/>
      <c r="C72" s="148"/>
      <c r="D72" s="147"/>
      <c r="E72" s="147"/>
    </row>
    <row r="73" spans="1:5" ht="31.5" customHeight="1">
      <c r="A73" s="57">
        <v>1</v>
      </c>
      <c r="B73" s="189" t="s">
        <v>89</v>
      </c>
      <c r="C73" s="149">
        <f>C74+C75+C76+C77+C78</f>
        <v>670289.52</v>
      </c>
      <c r="D73" s="256"/>
      <c r="E73" s="256"/>
    </row>
    <row r="74" spans="1:5" ht="15.75">
      <c r="A74" s="58" t="s">
        <v>90</v>
      </c>
      <c r="B74" s="190" t="s">
        <v>91</v>
      </c>
      <c r="C74" s="296">
        <v>151500</v>
      </c>
      <c r="D74" s="147"/>
      <c r="E74" s="147"/>
    </row>
    <row r="75" spans="1:5" ht="15.75">
      <c r="A75" s="58" t="s">
        <v>30</v>
      </c>
      <c r="B75" s="190" t="s">
        <v>92</v>
      </c>
      <c r="C75" s="296"/>
      <c r="D75" s="147"/>
      <c r="E75" s="147"/>
    </row>
    <row r="76" spans="1:5" ht="15.75">
      <c r="A76" s="58" t="s">
        <v>93</v>
      </c>
      <c r="B76" s="190" t="s">
        <v>94</v>
      </c>
      <c r="C76" s="133">
        <v>86339.52</v>
      </c>
      <c r="D76" s="147"/>
      <c r="E76" s="147"/>
    </row>
    <row r="77" spans="1:5" ht="15.75">
      <c r="A77" s="58" t="s">
        <v>95</v>
      </c>
      <c r="B77" s="190" t="s">
        <v>96</v>
      </c>
      <c r="C77" s="133">
        <v>414000</v>
      </c>
      <c r="D77" s="147"/>
      <c r="E77" s="147"/>
    </row>
    <row r="78" spans="1:5" ht="16.5" thickBot="1">
      <c r="A78" s="60" t="s">
        <v>97</v>
      </c>
      <c r="B78" s="191" t="s">
        <v>98</v>
      </c>
      <c r="C78" s="150">
        <v>18450</v>
      </c>
      <c r="D78" s="147"/>
      <c r="E78" s="147"/>
    </row>
    <row r="79" spans="1:5" ht="16.5" customHeight="1" hidden="1" thickBot="1">
      <c r="A79" s="151">
        <v>2</v>
      </c>
      <c r="B79" s="187"/>
      <c r="C79" s="152"/>
      <c r="D79" s="147"/>
      <c r="E79" s="147"/>
    </row>
    <row r="80" spans="1:5" ht="16.5" customHeight="1" hidden="1" thickBot="1">
      <c r="A80" s="62"/>
      <c r="B80" s="61"/>
      <c r="C80" s="148"/>
      <c r="D80" s="147"/>
      <c r="E80" s="147"/>
    </row>
    <row r="81" spans="1:5" ht="31.5" customHeight="1">
      <c r="A81" s="63">
        <v>2</v>
      </c>
      <c r="B81" s="193" t="s">
        <v>99</v>
      </c>
      <c r="C81" s="181">
        <f>C82+C84+C85+C86</f>
        <v>670290</v>
      </c>
      <c r="D81" s="248"/>
      <c r="E81" s="248"/>
    </row>
    <row r="82" spans="1:5" ht="15.75">
      <c r="A82" s="58" t="s">
        <v>38</v>
      </c>
      <c r="B82" s="194" t="s">
        <v>91</v>
      </c>
      <c r="C82" s="296">
        <v>151500</v>
      </c>
      <c r="D82" s="147"/>
      <c r="E82" s="147"/>
    </row>
    <row r="83" spans="1:5" ht="15.75">
      <c r="A83" s="58" t="s">
        <v>40</v>
      </c>
      <c r="B83" s="195" t="s">
        <v>92</v>
      </c>
      <c r="C83" s="296"/>
      <c r="D83" s="147"/>
      <c r="E83" s="147"/>
    </row>
    <row r="84" spans="1:5" ht="15.75">
      <c r="A84" s="58" t="s">
        <v>42</v>
      </c>
      <c r="B84" s="190" t="s">
        <v>96</v>
      </c>
      <c r="C84" s="133">
        <v>414000</v>
      </c>
      <c r="D84" s="147"/>
      <c r="E84" s="147"/>
    </row>
    <row r="85" spans="1:5" ht="15.75">
      <c r="A85" s="58" t="s">
        <v>44</v>
      </c>
      <c r="B85" s="190" t="s">
        <v>94</v>
      </c>
      <c r="C85" s="133">
        <v>86340</v>
      </c>
      <c r="D85" s="147"/>
      <c r="E85" s="147"/>
    </row>
    <row r="86" spans="1:5" ht="16.5" thickBot="1">
      <c r="A86" s="60" t="s">
        <v>47</v>
      </c>
      <c r="B86" s="191" t="s">
        <v>98</v>
      </c>
      <c r="C86" s="150">
        <v>18450</v>
      </c>
      <c r="D86" s="147"/>
      <c r="E86" s="147"/>
    </row>
    <row r="87" spans="1:2" ht="12.75">
      <c r="A87" s="6"/>
      <c r="B87" s="64"/>
    </row>
    <row r="88" spans="2:17" s="65" customFormat="1" ht="12">
      <c r="B88" s="66"/>
      <c r="C88" s="153"/>
      <c r="D88" s="153"/>
      <c r="E88" s="153"/>
      <c r="F88" s="226"/>
      <c r="G88" s="226"/>
      <c r="H88" s="226"/>
      <c r="I88" s="226"/>
      <c r="J88" s="226"/>
      <c r="K88" s="226"/>
      <c r="M88" s="266"/>
      <c r="N88" s="236"/>
      <c r="O88" s="240"/>
      <c r="P88" s="67"/>
      <c r="Q88" s="153"/>
    </row>
    <row r="89" spans="1:2" ht="22.5" customHeight="1">
      <c r="A89" s="269"/>
      <c r="B89" s="269"/>
    </row>
    <row r="90" spans="1:5" ht="31.5" customHeight="1">
      <c r="A90" s="269"/>
      <c r="B90" s="269"/>
      <c r="C90" s="188"/>
      <c r="D90" s="188"/>
      <c r="E90" s="188"/>
    </row>
    <row r="91" spans="1:5" ht="15" customHeight="1">
      <c r="A91" s="269"/>
      <c r="B91" s="269"/>
      <c r="C91" s="154"/>
      <c r="D91" s="154"/>
      <c r="E91" s="154"/>
    </row>
    <row r="92" spans="1:2" ht="15">
      <c r="A92" s="68"/>
      <c r="B92"/>
    </row>
    <row r="93" spans="1:2" ht="15">
      <c r="A93" s="68" t="s">
        <v>103</v>
      </c>
      <c r="B93"/>
    </row>
    <row r="94" spans="1:5" ht="18.75" customHeight="1">
      <c r="A94" s="297" t="s">
        <v>2</v>
      </c>
      <c r="B94" s="297" t="s">
        <v>3</v>
      </c>
      <c r="C94" s="113" t="s">
        <v>179</v>
      </c>
      <c r="D94" s="147"/>
      <c r="E94" s="147"/>
    </row>
    <row r="95" spans="1:5" ht="11.25" customHeight="1">
      <c r="A95" s="297"/>
      <c r="B95" s="297"/>
      <c r="C95" s="113"/>
      <c r="D95" s="147"/>
      <c r="E95" s="147"/>
    </row>
    <row r="96" spans="1:5" ht="15.75">
      <c r="A96" s="126">
        <v>1</v>
      </c>
      <c r="B96" s="192">
        <v>2</v>
      </c>
      <c r="C96" s="155" t="s">
        <v>107</v>
      </c>
      <c r="D96" s="147"/>
      <c r="E96" s="147"/>
    </row>
    <row r="97" spans="1:5" ht="47.25" customHeight="1">
      <c r="A97" s="126"/>
      <c r="B97" s="190" t="s">
        <v>104</v>
      </c>
      <c r="C97" s="203">
        <f>84738.21/1.18</f>
        <v>71812.04237288136</v>
      </c>
      <c r="D97" s="257"/>
      <c r="E97" s="257"/>
    </row>
    <row r="98" spans="1:5" ht="38.25" customHeight="1">
      <c r="A98" s="126"/>
      <c r="B98" s="190" t="s">
        <v>105</v>
      </c>
      <c r="C98" s="204">
        <f>C97-C99</f>
        <v>39265.262711864416</v>
      </c>
      <c r="D98" s="258"/>
      <c r="E98" s="258"/>
    </row>
    <row r="99" spans="1:5" ht="37.5" customHeight="1" thickBot="1">
      <c r="A99" s="156"/>
      <c r="B99" s="191" t="s">
        <v>106</v>
      </c>
      <c r="C99" s="205">
        <f>38405.2/1.18</f>
        <v>32546.77966101695</v>
      </c>
      <c r="D99" s="258"/>
      <c r="E99" s="258"/>
    </row>
    <row r="102" ht="12.75">
      <c r="B102" s="157"/>
    </row>
  </sheetData>
  <sheetProtection/>
  <mergeCells count="12">
    <mergeCell ref="A5:C5"/>
    <mergeCell ref="B7:B8"/>
    <mergeCell ref="B68:B70"/>
    <mergeCell ref="A7:A8"/>
    <mergeCell ref="A68:A70"/>
    <mergeCell ref="C74:C75"/>
    <mergeCell ref="C82:C83"/>
    <mergeCell ref="A94:A95"/>
    <mergeCell ref="A89:B89"/>
    <mergeCell ref="A90:B90"/>
    <mergeCell ref="A91:B91"/>
    <mergeCell ref="B94:B95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B1" sqref="B1:B4"/>
    </sheetView>
  </sheetViews>
  <sheetFormatPr defaultColWidth="9.140625" defaultRowHeight="12.75"/>
  <cols>
    <col min="1" max="1" width="6.421875" style="1" customWidth="1"/>
    <col min="2" max="2" width="36.00390625" style="68" customWidth="1"/>
    <col min="3" max="3" width="15.140625" style="5" customWidth="1"/>
    <col min="4" max="5" width="15.140625" style="47" customWidth="1"/>
    <col min="6" max="6" width="18.00390625" style="47" customWidth="1"/>
    <col min="7" max="7" width="15.8515625" style="7" hidden="1" customWidth="1"/>
    <col min="8" max="8" width="13.8515625" style="5" hidden="1" customWidth="1"/>
    <col min="9" max="9" width="14.8515625" style="6" hidden="1" customWidth="1"/>
    <col min="10" max="10" width="12.28125" style="5" hidden="1" customWidth="1"/>
    <col min="11" max="11" width="12.00390625" style="5" hidden="1" customWidth="1"/>
    <col min="12" max="12" width="18.7109375" style="6" hidden="1" customWidth="1"/>
    <col min="13" max="13" width="18.421875" style="6" hidden="1" customWidth="1"/>
    <col min="14" max="16384" width="9.140625" style="6" customWidth="1"/>
  </cols>
  <sheetData>
    <row r="1" spans="2:6" ht="15.75">
      <c r="B1" s="177" t="s">
        <v>244</v>
      </c>
      <c r="E1" s="224" t="s">
        <v>245</v>
      </c>
      <c r="F1" s="223"/>
    </row>
    <row r="2" spans="2:6" ht="15.75">
      <c r="B2" s="177" t="s">
        <v>0</v>
      </c>
      <c r="E2" s="223" t="s">
        <v>246</v>
      </c>
      <c r="F2" s="223"/>
    </row>
    <row r="3" spans="2:6" ht="15.75">
      <c r="B3" s="177" t="s">
        <v>1</v>
      </c>
      <c r="E3" s="223" t="s">
        <v>247</v>
      </c>
      <c r="F3" s="223"/>
    </row>
    <row r="4" ht="15.75">
      <c r="B4" s="177" t="s">
        <v>236</v>
      </c>
    </row>
    <row r="5" spans="1:17" ht="45.75" customHeight="1">
      <c r="A5" s="292" t="s">
        <v>171</v>
      </c>
      <c r="B5" s="292"/>
      <c r="C5" s="292"/>
      <c r="D5" s="292"/>
      <c r="E5" s="292"/>
      <c r="F5" s="292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7" spans="1:10" ht="16.5" customHeight="1">
      <c r="A7" s="299" t="s">
        <v>2</v>
      </c>
      <c r="B7" s="300" t="s">
        <v>3</v>
      </c>
      <c r="C7" s="301" t="s">
        <v>107</v>
      </c>
      <c r="D7" s="284" t="s">
        <v>168</v>
      </c>
      <c r="E7" s="284" t="s">
        <v>169</v>
      </c>
      <c r="F7" s="284" t="s">
        <v>87</v>
      </c>
      <c r="G7" s="298"/>
      <c r="J7" s="5" t="s">
        <v>166</v>
      </c>
    </row>
    <row r="8" spans="1:12" ht="17.25" customHeight="1">
      <c r="A8" s="299"/>
      <c r="B8" s="273"/>
      <c r="C8" s="301"/>
      <c r="D8" s="284"/>
      <c r="E8" s="284"/>
      <c r="F8" s="284"/>
      <c r="G8" s="298"/>
      <c r="H8" s="15" t="s">
        <v>163</v>
      </c>
      <c r="I8" s="2" t="s">
        <v>164</v>
      </c>
      <c r="J8" s="15" t="s">
        <v>165</v>
      </c>
      <c r="K8" s="15" t="s">
        <v>164</v>
      </c>
      <c r="L8" s="96" t="s">
        <v>107</v>
      </c>
    </row>
    <row r="9" spans="1:12" s="2" customFormat="1" ht="15.75" customHeight="1">
      <c r="A9" s="11">
        <v>1</v>
      </c>
      <c r="B9" s="12" t="s">
        <v>5</v>
      </c>
      <c r="C9" s="76">
        <f>C11+C12+C13+C14+C15+C16+C17+C18+C19+C20+C21+C22+C23</f>
        <v>339330</v>
      </c>
      <c r="D9" s="76">
        <f>D11+D12+D13+D14+D15+D16+D17+D18+D19+D20+D21+D22+D23</f>
        <v>84887</v>
      </c>
      <c r="E9" s="76">
        <f>E11+E12+E13+E14+E15+E16+E17+E18+E19+E20+E21+E22+E23</f>
        <v>167300</v>
      </c>
      <c r="F9" s="73">
        <f>F11+F12+F13+F14+F15+F16+F17+F18+F19+F20+F21+F22+F23</f>
        <v>252940</v>
      </c>
      <c r="G9" s="69"/>
      <c r="H9" s="76">
        <f>H11+H12+H13+J14+H15+H16+H17+H18+H19+H20+H21+H22+H23</f>
        <v>29361.43602570625</v>
      </c>
      <c r="I9" s="73">
        <f>I11+I12+I13+I14+I15+I16+I17+I18+I19+I20+I21+I22+I23</f>
        <v>169975.61615423748</v>
      </c>
      <c r="J9" s="73">
        <f>J11+J12+J13+J14+J15+J16+J17+J18+J19+J20+J21+J22+J23</f>
        <v>27167.97226282308</v>
      </c>
      <c r="K9" s="73">
        <f>K11+K12+K13+K14+K15+K16+K17+K18+K19+K20+K21+K22+K23</f>
        <v>173256.83357693852</v>
      </c>
      <c r="L9" s="14">
        <f>I9+K9</f>
        <v>343232.449731176</v>
      </c>
    </row>
    <row r="10" spans="1:12" s="2" customFormat="1" ht="15.75" customHeight="1">
      <c r="A10" s="102"/>
      <c r="B10" s="103"/>
      <c r="C10" s="104"/>
      <c r="D10" s="100"/>
      <c r="E10" s="100"/>
      <c r="F10" s="101"/>
      <c r="G10" s="69"/>
      <c r="H10" s="94"/>
      <c r="I10" s="93"/>
      <c r="J10" s="74"/>
      <c r="K10" s="74"/>
      <c r="L10" s="13">
        <f aca="true" t="shared" si="0" ref="L10:L24">I10+K10</f>
        <v>0</v>
      </c>
    </row>
    <row r="11" spans="1:12" ht="75">
      <c r="A11" s="17" t="s">
        <v>6</v>
      </c>
      <c r="B11" s="18" t="s">
        <v>7</v>
      </c>
      <c r="C11" s="112">
        <v>25551</v>
      </c>
      <c r="D11" s="115">
        <v>6124</v>
      </c>
      <c r="E11" s="115">
        <v>12250</v>
      </c>
      <c r="F11" s="115">
        <v>18901</v>
      </c>
      <c r="H11" s="59">
        <f>(767455+1641455)/1000/1.18</f>
        <v>2041.4491525423728</v>
      </c>
      <c r="I11" s="10">
        <f>H11*6</f>
        <v>12248.694915254237</v>
      </c>
      <c r="J11" s="10">
        <f>(767.45+67.04+1641.45+140.235)/1.18</f>
        <v>2217.0974576271187</v>
      </c>
      <c r="K11" s="10">
        <f aca="true" t="shared" si="1" ref="K11:K24">J11*6</f>
        <v>13302.584745762713</v>
      </c>
      <c r="L11" s="13">
        <f>I11+K11</f>
        <v>25551.27966101695</v>
      </c>
    </row>
    <row r="12" spans="1:12" ht="31.5">
      <c r="A12" s="20" t="s">
        <v>8</v>
      </c>
      <c r="B12" s="21" t="s">
        <v>9</v>
      </c>
      <c r="C12" s="112">
        <v>26416</v>
      </c>
      <c r="D12" s="115">
        <v>6223</v>
      </c>
      <c r="E12" s="115">
        <v>12447</v>
      </c>
      <c r="F12" s="115">
        <v>19431</v>
      </c>
      <c r="H12" s="10">
        <f>2074494.05788136/1000</f>
        <v>2074.49405788136</v>
      </c>
      <c r="I12" s="10">
        <f>H12*6</f>
        <v>12446.964347288158</v>
      </c>
      <c r="J12" s="10">
        <f>2328143.98635593/1000</f>
        <v>2328.14398635593</v>
      </c>
      <c r="K12" s="10">
        <f t="shared" si="1"/>
        <v>13968.86391813558</v>
      </c>
      <c r="L12" s="13">
        <f t="shared" si="0"/>
        <v>26415.828265423737</v>
      </c>
    </row>
    <row r="13" spans="1:12" ht="31.5">
      <c r="A13" s="20" t="s">
        <v>10</v>
      </c>
      <c r="B13" s="21" t="s">
        <v>11</v>
      </c>
      <c r="C13" s="112">
        <v>124904</v>
      </c>
      <c r="D13" s="115">
        <v>30112</v>
      </c>
      <c r="E13" s="115">
        <v>60224</v>
      </c>
      <c r="F13" s="115">
        <v>92564</v>
      </c>
      <c r="H13" s="10">
        <f>10037290.0267797/1000</f>
        <v>10037.2900267797</v>
      </c>
      <c r="I13" s="10">
        <f>H13*6</f>
        <v>60223.74016067819</v>
      </c>
      <c r="J13" s="10">
        <f>10780121.9601695/1000</f>
        <v>10780.1219601695</v>
      </c>
      <c r="K13" s="10">
        <f t="shared" si="1"/>
        <v>64680.731761017</v>
      </c>
      <c r="L13" s="13">
        <f t="shared" si="0"/>
        <v>124904.47192169519</v>
      </c>
    </row>
    <row r="14" spans="1:12" ht="31.5">
      <c r="A14" s="20" t="s">
        <v>12</v>
      </c>
      <c r="B14" s="21" t="s">
        <v>13</v>
      </c>
      <c r="C14" s="112">
        <v>67507</v>
      </c>
      <c r="D14" s="115">
        <v>15871</v>
      </c>
      <c r="E14" s="115">
        <v>33754</v>
      </c>
      <c r="F14" s="115">
        <v>50631</v>
      </c>
      <c r="H14" s="10">
        <f>5290412.79389831/1000</f>
        <v>5290.412793898309</v>
      </c>
      <c r="I14" s="10">
        <f>J14*6</f>
        <v>33753.55833915252</v>
      </c>
      <c r="J14" s="10">
        <f>5625593.05652542/1000</f>
        <v>5625.59305652542</v>
      </c>
      <c r="K14" s="10">
        <f t="shared" si="1"/>
        <v>33753.55833915252</v>
      </c>
      <c r="L14" s="13">
        <f t="shared" si="0"/>
        <v>67507.11667830504</v>
      </c>
    </row>
    <row r="15" spans="1:12" ht="31.5">
      <c r="A15" s="20" t="s">
        <v>14</v>
      </c>
      <c r="B15" s="21" t="s">
        <v>15</v>
      </c>
      <c r="C15" s="112">
        <v>18208</v>
      </c>
      <c r="D15" s="115">
        <v>4131</v>
      </c>
      <c r="E15" s="115">
        <v>8262</v>
      </c>
      <c r="F15" s="115">
        <v>13235</v>
      </c>
      <c r="H15" s="10">
        <f>1376956.75457627/1000</f>
        <v>1376.95675457627</v>
      </c>
      <c r="I15" s="10">
        <f aca="true" t="shared" si="2" ref="I15:I24">H15*6</f>
        <v>8261.74052745762</v>
      </c>
      <c r="J15" s="10">
        <f>1657783.46110169/1000</f>
        <v>1657.7834611016901</v>
      </c>
      <c r="K15" s="10">
        <f t="shared" si="1"/>
        <v>9946.700766610142</v>
      </c>
      <c r="L15" s="13">
        <f t="shared" si="0"/>
        <v>18208.44129406776</v>
      </c>
    </row>
    <row r="16" spans="1:12" ht="15.75">
      <c r="A16" s="20" t="s">
        <v>16</v>
      </c>
      <c r="B16" s="21" t="s">
        <v>17</v>
      </c>
      <c r="C16" s="112">
        <v>5478</v>
      </c>
      <c r="D16" s="115">
        <v>1340</v>
      </c>
      <c r="E16" s="115">
        <v>2680</v>
      </c>
      <c r="F16" s="115">
        <v>4079</v>
      </c>
      <c r="H16" s="10">
        <f>446654.550847458/1000</f>
        <v>446.65455084745804</v>
      </c>
      <c r="I16" s="10">
        <f t="shared" si="2"/>
        <v>2679.9273050847482</v>
      </c>
      <c r="J16" s="10">
        <f>466359.609667195/1000</f>
        <v>466.359609667195</v>
      </c>
      <c r="K16" s="10">
        <f t="shared" si="1"/>
        <v>2798.15765800317</v>
      </c>
      <c r="L16" s="13">
        <f t="shared" si="0"/>
        <v>5478.084963087918</v>
      </c>
    </row>
    <row r="17" spans="1:12" ht="15.75">
      <c r="A17" s="20" t="s">
        <v>18</v>
      </c>
      <c r="B17" s="21" t="s">
        <v>19</v>
      </c>
      <c r="C17" s="112">
        <v>129</v>
      </c>
      <c r="D17" s="115">
        <v>32</v>
      </c>
      <c r="E17" s="115">
        <v>64</v>
      </c>
      <c r="F17" s="115">
        <v>96</v>
      </c>
      <c r="H17" s="10">
        <f>10769.6779661017/1000</f>
        <v>10.769677966101701</v>
      </c>
      <c r="I17" s="10">
        <f t="shared" si="2"/>
        <v>64.6180677966102</v>
      </c>
      <c r="J17" s="10">
        <f>10769.6779661017/1000</f>
        <v>10.769677966101701</v>
      </c>
      <c r="K17" s="10">
        <f t="shared" si="1"/>
        <v>64.6180677966102</v>
      </c>
      <c r="L17" s="13">
        <f t="shared" si="0"/>
        <v>129.2361355932204</v>
      </c>
    </row>
    <row r="18" spans="1:12" ht="15.75">
      <c r="A18" s="20" t="s">
        <v>20</v>
      </c>
      <c r="B18" s="21" t="s">
        <v>21</v>
      </c>
      <c r="C18" s="112">
        <v>641</v>
      </c>
      <c r="D18" s="115">
        <v>160</v>
      </c>
      <c r="E18" s="115">
        <v>320</v>
      </c>
      <c r="F18" s="115">
        <v>480</v>
      </c>
      <c r="H18" s="72">
        <f>53396.5084745763/1000</f>
        <v>53.3965084745763</v>
      </c>
      <c r="I18" s="10">
        <f t="shared" si="2"/>
        <v>320.3790508474578</v>
      </c>
      <c r="J18" s="10">
        <f>53396.5084745763/1000</f>
        <v>53.3965084745763</v>
      </c>
      <c r="K18" s="10">
        <f t="shared" si="1"/>
        <v>320.3790508474578</v>
      </c>
      <c r="L18" s="13">
        <f t="shared" si="0"/>
        <v>640.7581016949156</v>
      </c>
    </row>
    <row r="19" spans="1:12" ht="47.25">
      <c r="A19" s="20" t="s">
        <v>22</v>
      </c>
      <c r="B19" s="21" t="s">
        <v>23</v>
      </c>
      <c r="C19" s="112">
        <v>6024</v>
      </c>
      <c r="D19" s="115">
        <v>1472</v>
      </c>
      <c r="E19" s="115">
        <v>2944</v>
      </c>
      <c r="F19" s="115">
        <v>4484</v>
      </c>
      <c r="H19" s="72">
        <f>490615.101694915/1000</f>
        <v>490.615101694915</v>
      </c>
      <c r="I19" s="10">
        <f t="shared" si="2"/>
        <v>2943.69061016949</v>
      </c>
      <c r="J19" s="10">
        <f>513258.460483441/1000</f>
        <v>513.258460483441</v>
      </c>
      <c r="K19" s="10">
        <f t="shared" si="1"/>
        <v>3079.550762900646</v>
      </c>
      <c r="L19" s="13">
        <f t="shared" si="0"/>
        <v>6023.2413730701355</v>
      </c>
    </row>
    <row r="20" spans="1:12" ht="15.75">
      <c r="A20" s="20" t="s">
        <v>24</v>
      </c>
      <c r="B20" s="21" t="s">
        <v>25</v>
      </c>
      <c r="C20" s="112">
        <v>14705</v>
      </c>
      <c r="D20" s="115">
        <v>3592</v>
      </c>
      <c r="E20" s="115">
        <v>7184</v>
      </c>
      <c r="F20" s="115">
        <v>10945</v>
      </c>
      <c r="H20" s="72">
        <f>1197271.16101695/1000</f>
        <v>1197.27116101695</v>
      </c>
      <c r="I20" s="10">
        <f t="shared" si="2"/>
        <v>7183.6269661016995</v>
      </c>
      <c r="J20" s="10">
        <f>1253539.61308905/1000</f>
        <v>1253.53961308905</v>
      </c>
      <c r="K20" s="10">
        <f t="shared" si="1"/>
        <v>7521.237678534299</v>
      </c>
      <c r="L20" s="13">
        <f t="shared" si="0"/>
        <v>14704.864644636</v>
      </c>
    </row>
    <row r="21" spans="1:12" ht="15.75">
      <c r="A21" s="20" t="s">
        <v>26</v>
      </c>
      <c r="B21" s="21" t="s">
        <v>27</v>
      </c>
      <c r="C21" s="112">
        <v>5241</v>
      </c>
      <c r="D21" s="115">
        <v>1269</v>
      </c>
      <c r="E21" s="115">
        <v>2538</v>
      </c>
      <c r="F21" s="115">
        <v>3889</v>
      </c>
      <c r="H21" s="72">
        <f>423088.813559322/1000</f>
        <v>423.088813559322</v>
      </c>
      <c r="I21" s="10">
        <f t="shared" si="2"/>
        <v>2538.5328813559317</v>
      </c>
      <c r="J21" s="10">
        <f>450384.640854587/1000</f>
        <v>450.384640854587</v>
      </c>
      <c r="K21" s="10">
        <f t="shared" si="1"/>
        <v>2702.3078451275223</v>
      </c>
      <c r="L21" s="13">
        <f t="shared" si="0"/>
        <v>5240.840726483454</v>
      </c>
    </row>
    <row r="22" spans="1:12" ht="15.75">
      <c r="A22" s="20" t="s">
        <v>28</v>
      </c>
      <c r="B22" s="9" t="s">
        <v>29</v>
      </c>
      <c r="C22" s="112">
        <v>19880</v>
      </c>
      <c r="D22" s="115">
        <v>4970</v>
      </c>
      <c r="E22" s="115">
        <v>9940</v>
      </c>
      <c r="F22" s="115">
        <v>14910</v>
      </c>
      <c r="H22" s="95">
        <f>1656523.83050847/1000</f>
        <v>1656.5238305084702</v>
      </c>
      <c r="I22" s="10">
        <f t="shared" si="2"/>
        <v>9939.14298305082</v>
      </c>
      <c r="J22" s="10">
        <f>1656523.83050847/1000</f>
        <v>1656.5238305084702</v>
      </c>
      <c r="K22" s="10">
        <f t="shared" si="1"/>
        <v>9939.14298305082</v>
      </c>
      <c r="L22" s="13">
        <f t="shared" si="0"/>
        <v>19878.28596610164</v>
      </c>
    </row>
    <row r="23" spans="1:12" ht="15.75">
      <c r="A23" s="22" t="s">
        <v>30</v>
      </c>
      <c r="B23" s="23" t="s">
        <v>31</v>
      </c>
      <c r="C23" s="117">
        <f>C24+C25</f>
        <v>24646</v>
      </c>
      <c r="D23" s="117">
        <f>D24+D25</f>
        <v>9591</v>
      </c>
      <c r="E23" s="117">
        <f>E24+E25</f>
        <v>14693</v>
      </c>
      <c r="F23" s="118">
        <f>F24+F25</f>
        <v>19295</v>
      </c>
      <c r="H23" s="77">
        <f>(H24+H25)</f>
        <v>3927.3333333333335</v>
      </c>
      <c r="I23" s="75">
        <f>I24+I25</f>
        <v>17371</v>
      </c>
      <c r="J23" s="75">
        <f>J24+J25</f>
        <v>155</v>
      </c>
      <c r="K23" s="75">
        <f>K24+K25</f>
        <v>11179</v>
      </c>
      <c r="L23" s="92">
        <f>I23+K23</f>
        <v>28550</v>
      </c>
    </row>
    <row r="24" spans="1:12" ht="31.5">
      <c r="A24" s="20" t="s">
        <v>32</v>
      </c>
      <c r="B24" s="24" t="s">
        <v>108</v>
      </c>
      <c r="C24" s="112">
        <f>155*12</f>
        <v>1860</v>
      </c>
      <c r="D24" s="115">
        <v>465</v>
      </c>
      <c r="E24" s="115">
        <v>930</v>
      </c>
      <c r="F24" s="115">
        <v>1395</v>
      </c>
      <c r="H24" s="72">
        <f>155000/1000</f>
        <v>155</v>
      </c>
      <c r="I24" s="10">
        <f t="shared" si="2"/>
        <v>930</v>
      </c>
      <c r="J24" s="10">
        <v>155</v>
      </c>
      <c r="K24" s="10">
        <f t="shared" si="1"/>
        <v>930</v>
      </c>
      <c r="L24" s="13">
        <f t="shared" si="0"/>
        <v>1860</v>
      </c>
    </row>
    <row r="25" spans="1:12" ht="15.75">
      <c r="A25" s="25" t="s">
        <v>34</v>
      </c>
      <c r="B25" s="26" t="s">
        <v>35</v>
      </c>
      <c r="C25" s="119">
        <v>22786</v>
      </c>
      <c r="D25" s="116">
        <v>9126</v>
      </c>
      <c r="E25" s="116">
        <v>13763</v>
      </c>
      <c r="F25" s="116">
        <v>17900</v>
      </c>
      <c r="H25" s="72">
        <f>11317/3</f>
        <v>3772.3333333333335</v>
      </c>
      <c r="I25" s="10">
        <v>16441</v>
      </c>
      <c r="J25" s="10"/>
      <c r="K25" s="10">
        <v>10249</v>
      </c>
      <c r="L25" s="13">
        <f>I25+K25</f>
        <v>26690</v>
      </c>
    </row>
    <row r="26" spans="1:11" s="2" customFormat="1" ht="15.75">
      <c r="A26" s="27" t="s">
        <v>36</v>
      </c>
      <c r="B26" s="12" t="s">
        <v>37</v>
      </c>
      <c r="C26" s="106">
        <f>C27+C28+C29+C30+C31+C32+C33+C34+C35+C36+C37+C38+C39+C40+C41+C43</f>
        <v>298432.70709333336</v>
      </c>
      <c r="D26" s="106">
        <f>D27+D28+D29+D30+D31+D32+D33+D34+D35+D36+D37+D38+D39+D40+D41+D43</f>
        <v>75467.35177333333</v>
      </c>
      <c r="E26" s="106">
        <f>E27+E28+E29+E30+E31+E32+E33+E34+E35+E36+E37+E38+E39+E40+E41+E43</f>
        <v>146612.28554666668</v>
      </c>
      <c r="F26" s="107">
        <f>F27+F28+F29+F30+F31+F32+F33+F34+F35+F36+F37+F38+F39+F40+F41+F43</f>
        <v>222496.42932</v>
      </c>
      <c r="G26" s="69"/>
      <c r="H26" s="15"/>
      <c r="I26" s="2">
        <v>5124.72</v>
      </c>
      <c r="J26" s="15"/>
      <c r="K26" s="15"/>
    </row>
    <row r="27" spans="1:7" ht="15">
      <c r="A27" s="28" t="s">
        <v>38</v>
      </c>
      <c r="B27" s="87" t="s">
        <v>161</v>
      </c>
      <c r="C27" s="120">
        <v>104734</v>
      </c>
      <c r="D27" s="115">
        <v>26021</v>
      </c>
      <c r="E27" s="115">
        <v>51183</v>
      </c>
      <c r="F27" s="115">
        <v>79200</v>
      </c>
      <c r="G27" s="47"/>
    </row>
    <row r="28" spans="1:7" ht="15">
      <c r="A28" s="28" t="s">
        <v>40</v>
      </c>
      <c r="B28" s="87" t="s">
        <v>140</v>
      </c>
      <c r="C28" s="120">
        <f>C27*30.2/100</f>
        <v>31629.667999999998</v>
      </c>
      <c r="D28" s="115">
        <f>D27*0.302</f>
        <v>7858.342</v>
      </c>
      <c r="E28" s="115">
        <f>E27*0.302</f>
        <v>15457.266</v>
      </c>
      <c r="F28" s="115">
        <f>F27*0.302</f>
        <v>23918.399999999998</v>
      </c>
      <c r="G28" s="98"/>
    </row>
    <row r="29" spans="1:6" ht="15">
      <c r="A29" s="28" t="s">
        <v>42</v>
      </c>
      <c r="B29" s="87" t="s">
        <v>133</v>
      </c>
      <c r="C29" s="121">
        <v>13000</v>
      </c>
      <c r="D29" s="115">
        <f aca="true" t="shared" si="3" ref="D29:D41">C29/4</f>
        <v>3250</v>
      </c>
      <c r="E29" s="115">
        <f aca="true" t="shared" si="4" ref="E29:E41">C29/2</f>
        <v>6500</v>
      </c>
      <c r="F29" s="115">
        <f aca="true" t="shared" si="5" ref="F29:F41">C29/12*9</f>
        <v>9750</v>
      </c>
    </row>
    <row r="30" spans="1:6" ht="15">
      <c r="A30" s="28" t="s">
        <v>44</v>
      </c>
      <c r="B30" s="87" t="s">
        <v>134</v>
      </c>
      <c r="C30" s="112">
        <f>'[1]20сч.9 мес.2016'!$G$41</f>
        <v>741.5333600000001</v>
      </c>
      <c r="D30" s="115">
        <f t="shared" si="3"/>
        <v>185.38334000000003</v>
      </c>
      <c r="E30" s="115">
        <f t="shared" si="4"/>
        <v>370.76668000000006</v>
      </c>
      <c r="F30" s="115">
        <f t="shared" si="5"/>
        <v>556.1500200000002</v>
      </c>
    </row>
    <row r="31" spans="1:6" ht="15">
      <c r="A31" s="1" t="s">
        <v>46</v>
      </c>
      <c r="B31" s="87" t="s">
        <v>135</v>
      </c>
      <c r="C31" s="112">
        <v>1300</v>
      </c>
      <c r="D31" s="115">
        <f t="shared" si="3"/>
        <v>325</v>
      </c>
      <c r="E31" s="115">
        <f t="shared" si="4"/>
        <v>650</v>
      </c>
      <c r="F31" s="115">
        <f t="shared" si="5"/>
        <v>975</v>
      </c>
    </row>
    <row r="32" spans="1:6" ht="15">
      <c r="A32" s="28" t="s">
        <v>47</v>
      </c>
      <c r="B32" s="87" t="s">
        <v>136</v>
      </c>
      <c r="C32" s="112">
        <f>'[1]20сч.9 мес.2016'!$G$42</f>
        <v>286.58528</v>
      </c>
      <c r="D32" s="115">
        <f t="shared" si="3"/>
        <v>71.64632</v>
      </c>
      <c r="E32" s="115">
        <f t="shared" si="4"/>
        <v>143.29264</v>
      </c>
      <c r="F32" s="115">
        <f t="shared" si="5"/>
        <v>214.93896</v>
      </c>
    </row>
    <row r="33" spans="1:6" ht="15">
      <c r="A33" s="28" t="s">
        <v>59</v>
      </c>
      <c r="B33" s="87" t="s">
        <v>137</v>
      </c>
      <c r="C33" s="112">
        <v>200</v>
      </c>
      <c r="D33" s="115">
        <f t="shared" si="3"/>
        <v>50</v>
      </c>
      <c r="E33" s="115">
        <f t="shared" si="4"/>
        <v>100</v>
      </c>
      <c r="F33" s="115">
        <f t="shared" si="5"/>
        <v>150</v>
      </c>
    </row>
    <row r="34" spans="1:9" ht="15">
      <c r="A34" s="28" t="s">
        <v>180</v>
      </c>
      <c r="B34" s="79" t="s">
        <v>138</v>
      </c>
      <c r="C34" s="112">
        <v>2700</v>
      </c>
      <c r="D34" s="115">
        <f t="shared" si="3"/>
        <v>675</v>
      </c>
      <c r="E34" s="115">
        <f t="shared" si="4"/>
        <v>1350</v>
      </c>
      <c r="F34" s="115">
        <f t="shared" si="5"/>
        <v>2025</v>
      </c>
      <c r="I34" s="114"/>
    </row>
    <row r="35" spans="1:6" ht="15">
      <c r="A35" s="28" t="s">
        <v>181</v>
      </c>
      <c r="B35" s="80" t="s">
        <v>139</v>
      </c>
      <c r="C35" s="112">
        <v>800</v>
      </c>
      <c r="D35" s="115">
        <f t="shared" si="3"/>
        <v>200</v>
      </c>
      <c r="E35" s="115">
        <f t="shared" si="4"/>
        <v>400</v>
      </c>
      <c r="F35" s="115">
        <f t="shared" si="5"/>
        <v>600</v>
      </c>
    </row>
    <row r="36" spans="1:6" ht="30.75" customHeight="1">
      <c r="A36" s="28" t="s">
        <v>182</v>
      </c>
      <c r="B36" s="79" t="s">
        <v>170</v>
      </c>
      <c r="C36" s="112">
        <f>'[1]20сч.9 мес.2016'!$G$44</f>
        <v>4832.258773333333</v>
      </c>
      <c r="D36" s="115">
        <f t="shared" si="3"/>
        <v>1208.0646933333333</v>
      </c>
      <c r="E36" s="115">
        <f t="shared" si="4"/>
        <v>2416.1293866666665</v>
      </c>
      <c r="F36" s="115">
        <f t="shared" si="5"/>
        <v>3624.1940799999998</v>
      </c>
    </row>
    <row r="37" spans="1:6" ht="15">
      <c r="A37" s="28" t="s">
        <v>183</v>
      </c>
      <c r="B37" s="81" t="s">
        <v>109</v>
      </c>
      <c r="C37" s="112">
        <v>223.6</v>
      </c>
      <c r="D37" s="115">
        <f t="shared" si="3"/>
        <v>55.9</v>
      </c>
      <c r="E37" s="115">
        <f t="shared" si="4"/>
        <v>111.8</v>
      </c>
      <c r="F37" s="115">
        <f t="shared" si="5"/>
        <v>167.7</v>
      </c>
    </row>
    <row r="38" spans="1:6" ht="15">
      <c r="A38" s="28" t="s">
        <v>184</v>
      </c>
      <c r="B38" s="82" t="s">
        <v>110</v>
      </c>
      <c r="C38" s="112">
        <f>'[1]20сч.9 мес.2016'!$G$8</f>
        <v>349.2073733333333</v>
      </c>
      <c r="D38" s="115">
        <f t="shared" si="3"/>
        <v>87.30184333333332</v>
      </c>
      <c r="E38" s="115">
        <f t="shared" si="4"/>
        <v>174.60368666666665</v>
      </c>
      <c r="F38" s="115">
        <f t="shared" si="5"/>
        <v>261.90553</v>
      </c>
    </row>
    <row r="39" spans="1:6" ht="15">
      <c r="A39" s="28" t="s">
        <v>185</v>
      </c>
      <c r="B39" s="82" t="s">
        <v>111</v>
      </c>
      <c r="C39" s="112">
        <v>170.65</v>
      </c>
      <c r="D39" s="115">
        <f t="shared" si="3"/>
        <v>42.6625</v>
      </c>
      <c r="E39" s="115">
        <f t="shared" si="4"/>
        <v>85.325</v>
      </c>
      <c r="F39" s="115">
        <f t="shared" si="5"/>
        <v>127.9875</v>
      </c>
    </row>
    <row r="40" spans="1:6" ht="15">
      <c r="A40" s="28" t="s">
        <v>186</v>
      </c>
      <c r="B40" s="84" t="s">
        <v>112</v>
      </c>
      <c r="C40" s="112">
        <v>288</v>
      </c>
      <c r="D40" s="115">
        <f t="shared" si="3"/>
        <v>72</v>
      </c>
      <c r="E40" s="115">
        <f t="shared" si="4"/>
        <v>144</v>
      </c>
      <c r="F40" s="115">
        <f t="shared" si="5"/>
        <v>216</v>
      </c>
    </row>
    <row r="41" spans="1:6" ht="15">
      <c r="A41" s="28" t="s">
        <v>187</v>
      </c>
      <c r="B41" s="82" t="s">
        <v>131</v>
      </c>
      <c r="C41" s="112">
        <f>'[1]20сч.9 мес.2016'!$G$38</f>
        <v>455.85410666666655</v>
      </c>
      <c r="D41" s="115">
        <f t="shared" si="3"/>
        <v>113.96352666666664</v>
      </c>
      <c r="E41" s="115">
        <f t="shared" si="4"/>
        <v>227.92705333333328</v>
      </c>
      <c r="F41" s="115">
        <f t="shared" si="5"/>
        <v>341.8905799999999</v>
      </c>
    </row>
    <row r="42" spans="1:6" ht="15">
      <c r="A42" s="28"/>
      <c r="B42" s="85"/>
      <c r="C42" s="112"/>
      <c r="D42" s="115"/>
      <c r="E42" s="115"/>
      <c r="F42" s="115"/>
    </row>
    <row r="43" spans="1:6" ht="47.25">
      <c r="A43" s="170" t="s">
        <v>188</v>
      </c>
      <c r="B43" s="171" t="s">
        <v>48</v>
      </c>
      <c r="C43" s="172">
        <f>C44+C45+C46+C47+C48+C49+C50+C51+C52+C53+C54+C55+C56+C57+C58+C59+C60+C61+C62+C65+C63+C64</f>
        <v>136721.35020000002</v>
      </c>
      <c r="D43" s="172">
        <f>D44+D45+D46+D47+D48+D49+D50+D51+D52+D53+D54+D55+D56+D57+D58+D59+D60+D61+D62+D65+D63+D64</f>
        <v>35251.087550000004</v>
      </c>
      <c r="E43" s="172">
        <f>E44+E45+E46+E47+E48+E49+E50+E51+E52+E53+E54+E55+E56+E57+E58+E59+E60+E61+E62+E65+E63+E64</f>
        <v>67298.17510000001</v>
      </c>
      <c r="F43" s="173">
        <f>F44+F45+F46+F47+F48+F49+F50+F51+F52+F53+F54+F55+F56+F57+F58+F59+F60+F61+F62+F65+F63+F64</f>
        <v>100367.26265</v>
      </c>
    </row>
    <row r="44" spans="1:6" ht="15">
      <c r="A44" s="28" t="s">
        <v>189</v>
      </c>
      <c r="B44" s="83" t="s">
        <v>113</v>
      </c>
      <c r="C44" s="124">
        <v>5944.54</v>
      </c>
      <c r="D44" s="115">
        <f>C44/4</f>
        <v>1486.135</v>
      </c>
      <c r="E44" s="115">
        <f>C44/2</f>
        <v>2972.27</v>
      </c>
      <c r="F44" s="115">
        <f>C44/12*9</f>
        <v>4458.405</v>
      </c>
    </row>
    <row r="45" spans="1:6" ht="15">
      <c r="A45" s="28" t="s">
        <v>190</v>
      </c>
      <c r="B45" s="83" t="s">
        <v>114</v>
      </c>
      <c r="C45" s="124">
        <v>32547</v>
      </c>
      <c r="D45" s="115">
        <v>7585</v>
      </c>
      <c r="E45" s="115">
        <v>15171</v>
      </c>
      <c r="F45" s="115">
        <v>23859</v>
      </c>
    </row>
    <row r="46" spans="1:6" ht="15">
      <c r="A46" s="28" t="s">
        <v>191</v>
      </c>
      <c r="B46" s="83" t="s">
        <v>115</v>
      </c>
      <c r="C46" s="124">
        <v>2500</v>
      </c>
      <c r="D46" s="115">
        <f aca="true" t="shared" si="6" ref="D46:D64">C46/4</f>
        <v>625</v>
      </c>
      <c r="E46" s="115">
        <f aca="true" t="shared" si="7" ref="E46:E64">C46/2</f>
        <v>1250</v>
      </c>
      <c r="F46" s="115">
        <f aca="true" t="shared" si="8" ref="F46:F64">C46/12*9</f>
        <v>1875</v>
      </c>
    </row>
    <row r="47" spans="1:6" ht="15">
      <c r="A47" s="28" t="s">
        <v>192</v>
      </c>
      <c r="B47" s="83" t="s">
        <v>121</v>
      </c>
      <c r="C47" s="124">
        <v>48941.9</v>
      </c>
      <c r="D47" s="115">
        <f t="shared" si="6"/>
        <v>12235.475</v>
      </c>
      <c r="E47" s="115">
        <f t="shared" si="7"/>
        <v>24470.95</v>
      </c>
      <c r="F47" s="115">
        <f t="shared" si="8"/>
        <v>36706.425</v>
      </c>
    </row>
    <row r="48" spans="1:6" ht="15">
      <c r="A48" s="28" t="s">
        <v>193</v>
      </c>
      <c r="B48" s="83" t="s">
        <v>120</v>
      </c>
      <c r="C48" s="124">
        <v>890</v>
      </c>
      <c r="D48" s="115">
        <f t="shared" si="6"/>
        <v>222.5</v>
      </c>
      <c r="E48" s="115">
        <f t="shared" si="7"/>
        <v>445</v>
      </c>
      <c r="F48" s="115">
        <f t="shared" si="8"/>
        <v>667.5</v>
      </c>
    </row>
    <row r="49" spans="1:6" ht="30">
      <c r="A49" s="28" t="s">
        <v>194</v>
      </c>
      <c r="B49" s="83" t="s">
        <v>132</v>
      </c>
      <c r="C49" s="124">
        <v>4336.27</v>
      </c>
      <c r="D49" s="115">
        <f t="shared" si="6"/>
        <v>1084.0675</v>
      </c>
      <c r="E49" s="115">
        <f t="shared" si="7"/>
        <v>2168.135</v>
      </c>
      <c r="F49" s="115">
        <f t="shared" si="8"/>
        <v>3252.2025000000003</v>
      </c>
    </row>
    <row r="50" spans="1:6" ht="15">
      <c r="A50" s="17" t="s">
        <v>195</v>
      </c>
      <c r="B50" s="83" t="s">
        <v>122</v>
      </c>
      <c r="C50" s="124">
        <v>612.35</v>
      </c>
      <c r="D50" s="115">
        <f t="shared" si="6"/>
        <v>153.0875</v>
      </c>
      <c r="E50" s="115">
        <f t="shared" si="7"/>
        <v>306.175</v>
      </c>
      <c r="F50" s="115">
        <f t="shared" si="8"/>
        <v>459.26250000000005</v>
      </c>
    </row>
    <row r="51" spans="1:6" ht="15">
      <c r="A51" s="28" t="s">
        <v>196</v>
      </c>
      <c r="B51" s="83" t="s">
        <v>123</v>
      </c>
      <c r="C51" s="124">
        <v>93.205</v>
      </c>
      <c r="D51" s="115">
        <f t="shared" si="6"/>
        <v>23.30125</v>
      </c>
      <c r="E51" s="115">
        <f t="shared" si="7"/>
        <v>46.6025</v>
      </c>
      <c r="F51" s="115">
        <f t="shared" si="8"/>
        <v>69.90375</v>
      </c>
    </row>
    <row r="52" spans="1:6" ht="15">
      <c r="A52" s="28" t="s">
        <v>197</v>
      </c>
      <c r="B52" s="83" t="s">
        <v>124</v>
      </c>
      <c r="C52" s="124">
        <v>75</v>
      </c>
      <c r="D52" s="115">
        <f t="shared" si="6"/>
        <v>18.75</v>
      </c>
      <c r="E52" s="115">
        <f t="shared" si="7"/>
        <v>37.5</v>
      </c>
      <c r="F52" s="115">
        <f t="shared" si="8"/>
        <v>56.25</v>
      </c>
    </row>
    <row r="53" spans="1:6" ht="15">
      <c r="A53" s="28" t="s">
        <v>198</v>
      </c>
      <c r="B53" s="83" t="s">
        <v>125</v>
      </c>
      <c r="C53" s="124">
        <v>551.27</v>
      </c>
      <c r="D53" s="115">
        <f t="shared" si="6"/>
        <v>137.8175</v>
      </c>
      <c r="E53" s="115">
        <f t="shared" si="7"/>
        <v>275.635</v>
      </c>
      <c r="F53" s="115">
        <f t="shared" si="8"/>
        <v>413.4525</v>
      </c>
    </row>
    <row r="54" spans="1:6" ht="15">
      <c r="A54" s="28" t="s">
        <v>199</v>
      </c>
      <c r="B54" s="83" t="s">
        <v>126</v>
      </c>
      <c r="C54" s="124">
        <f>'[1]20сч.9 мес.2016'!$G$19</f>
        <v>12.133333333333333</v>
      </c>
      <c r="D54" s="115">
        <f t="shared" si="6"/>
        <v>3.033333333333333</v>
      </c>
      <c r="E54" s="115">
        <f t="shared" si="7"/>
        <v>6.066666666666666</v>
      </c>
      <c r="F54" s="115">
        <f t="shared" si="8"/>
        <v>9.1</v>
      </c>
    </row>
    <row r="55" spans="1:6" ht="15">
      <c r="A55" s="28" t="s">
        <v>200</v>
      </c>
      <c r="B55" s="83" t="s">
        <v>127</v>
      </c>
      <c r="C55" s="124">
        <f>'[1]20сч.9 мес.2016'!$G$12</f>
        <v>928.3050800000001</v>
      </c>
      <c r="D55" s="115">
        <f t="shared" si="6"/>
        <v>232.07627000000002</v>
      </c>
      <c r="E55" s="115">
        <f t="shared" si="7"/>
        <v>464.15254000000004</v>
      </c>
      <c r="F55" s="115">
        <f t="shared" si="8"/>
        <v>696.2288100000001</v>
      </c>
    </row>
    <row r="56" spans="1:7" ht="15">
      <c r="A56" s="1" t="s">
        <v>201</v>
      </c>
      <c r="B56" s="83" t="s">
        <v>116</v>
      </c>
      <c r="C56" s="124">
        <f>'[1]20сч.9 мес.2016'!$G$34</f>
        <v>10242.171466666667</v>
      </c>
      <c r="D56" s="115">
        <f t="shared" si="6"/>
        <v>2560.5428666666667</v>
      </c>
      <c r="E56" s="115">
        <f t="shared" si="7"/>
        <v>5121.085733333333</v>
      </c>
      <c r="F56" s="115">
        <f t="shared" si="8"/>
        <v>7681.6286</v>
      </c>
      <c r="G56" s="99"/>
    </row>
    <row r="57" spans="1:6" ht="15">
      <c r="A57" s="28" t="s">
        <v>202</v>
      </c>
      <c r="B57" s="83" t="s">
        <v>117</v>
      </c>
      <c r="C57" s="124">
        <v>743.68</v>
      </c>
      <c r="D57" s="115">
        <f t="shared" si="6"/>
        <v>185.92</v>
      </c>
      <c r="E57" s="115">
        <f t="shared" si="7"/>
        <v>371.84</v>
      </c>
      <c r="F57" s="115">
        <f t="shared" si="8"/>
        <v>557.76</v>
      </c>
    </row>
    <row r="58" spans="1:6" ht="15">
      <c r="A58" s="28" t="s">
        <v>203</v>
      </c>
      <c r="B58" s="83" t="s">
        <v>118</v>
      </c>
      <c r="C58" s="124">
        <v>1521.436</v>
      </c>
      <c r="D58" s="115">
        <f t="shared" si="6"/>
        <v>380.359</v>
      </c>
      <c r="E58" s="115">
        <f t="shared" si="7"/>
        <v>760.718</v>
      </c>
      <c r="F58" s="115">
        <f t="shared" si="8"/>
        <v>1141.077</v>
      </c>
    </row>
    <row r="59" spans="1:6" ht="15">
      <c r="A59" s="20" t="s">
        <v>204</v>
      </c>
      <c r="B59" s="83" t="s">
        <v>119</v>
      </c>
      <c r="C59" s="124">
        <v>50</v>
      </c>
      <c r="D59" s="115">
        <f t="shared" si="6"/>
        <v>12.5</v>
      </c>
      <c r="E59" s="115">
        <f t="shared" si="7"/>
        <v>25</v>
      </c>
      <c r="F59" s="115">
        <f t="shared" si="8"/>
        <v>37.5</v>
      </c>
    </row>
    <row r="60" spans="1:6" ht="15">
      <c r="A60" s="20" t="s">
        <v>205</v>
      </c>
      <c r="B60" s="83" t="s">
        <v>129</v>
      </c>
      <c r="C60" s="112">
        <f>'[1]20сч.9 мес.2016'!$G$22</f>
        <v>33.55932</v>
      </c>
      <c r="D60" s="115">
        <f t="shared" si="6"/>
        <v>8.38983</v>
      </c>
      <c r="E60" s="115">
        <f t="shared" si="7"/>
        <v>16.77966</v>
      </c>
      <c r="F60" s="115">
        <f t="shared" si="8"/>
        <v>25.16949</v>
      </c>
    </row>
    <row r="61" spans="1:6" ht="15">
      <c r="A61" s="20" t="s">
        <v>206</v>
      </c>
      <c r="B61" s="88" t="s">
        <v>130</v>
      </c>
      <c r="C61" s="112">
        <v>168.53</v>
      </c>
      <c r="D61" s="115">
        <f t="shared" si="6"/>
        <v>42.1325</v>
      </c>
      <c r="E61" s="115">
        <f t="shared" si="7"/>
        <v>84.265</v>
      </c>
      <c r="F61" s="115">
        <f t="shared" si="8"/>
        <v>126.39750000000001</v>
      </c>
    </row>
    <row r="62" spans="1:6" ht="30">
      <c r="A62" s="20" t="s">
        <v>207</v>
      </c>
      <c r="B62" s="88" t="s">
        <v>128</v>
      </c>
      <c r="C62" s="121">
        <v>5800</v>
      </c>
      <c r="D62" s="115">
        <v>2900</v>
      </c>
      <c r="E62" s="115">
        <v>2900</v>
      </c>
      <c r="F62" s="115">
        <v>2900</v>
      </c>
    </row>
    <row r="63" spans="1:6" ht="15">
      <c r="A63" s="20" t="s">
        <v>208</v>
      </c>
      <c r="B63" s="88" t="s">
        <v>160</v>
      </c>
      <c r="C63" s="112">
        <v>770</v>
      </c>
      <c r="D63" s="115">
        <v>385</v>
      </c>
      <c r="E63" s="115">
        <f t="shared" si="7"/>
        <v>385</v>
      </c>
      <c r="F63" s="115">
        <v>385</v>
      </c>
    </row>
    <row r="64" spans="1:6" ht="15">
      <c r="A64" s="20" t="s">
        <v>209</v>
      </c>
      <c r="B64" s="88" t="s">
        <v>167</v>
      </c>
      <c r="C64" s="112">
        <v>19880</v>
      </c>
      <c r="D64" s="115">
        <f t="shared" si="6"/>
        <v>4970</v>
      </c>
      <c r="E64" s="115">
        <f t="shared" si="7"/>
        <v>9940</v>
      </c>
      <c r="F64" s="115">
        <f t="shared" si="8"/>
        <v>14910</v>
      </c>
    </row>
    <row r="65" spans="1:6" ht="15">
      <c r="A65" s="1" t="s">
        <v>210</v>
      </c>
      <c r="B65" s="89" t="s">
        <v>159</v>
      </c>
      <c r="C65" s="112">
        <v>80</v>
      </c>
      <c r="D65" s="115">
        <v>0</v>
      </c>
      <c r="E65" s="115">
        <v>80</v>
      </c>
      <c r="F65" s="115">
        <v>80</v>
      </c>
    </row>
    <row r="66" spans="1:6" ht="31.5">
      <c r="A66" s="30">
        <v>3</v>
      </c>
      <c r="B66" s="31" t="s">
        <v>61</v>
      </c>
      <c r="C66" s="108">
        <f>C9-C26</f>
        <v>40897.29290666664</v>
      </c>
      <c r="D66" s="108">
        <f>D9-D26</f>
        <v>9419.648226666672</v>
      </c>
      <c r="E66" s="108">
        <f>E9-E26</f>
        <v>20687.71445333332</v>
      </c>
      <c r="F66" s="109">
        <f>F9-F26</f>
        <v>30443.570680000004</v>
      </c>
    </row>
    <row r="67" spans="1:6" ht="15.75">
      <c r="A67" s="32">
        <v>4</v>
      </c>
      <c r="B67" s="86" t="s">
        <v>62</v>
      </c>
      <c r="C67" s="112"/>
      <c r="D67" s="115"/>
      <c r="E67" s="115"/>
      <c r="F67" s="115"/>
    </row>
    <row r="68" spans="1:14" ht="82.5" customHeight="1">
      <c r="A68" s="30">
        <v>5</v>
      </c>
      <c r="B68" s="174" t="s">
        <v>176</v>
      </c>
      <c r="C68" s="122">
        <f>C69+C70+C71+C72+C73+C74+C75+C76+C77+C78+C79+C80+C81+C82+C83+C84+C85+C86+C87+C88+C89+C90</f>
        <v>37016.047399999996</v>
      </c>
      <c r="D68" s="122">
        <f>D69+D70+D71+D72+D73+D74+D75+D76+D77+D78+D79+D80+D81+D82+D83+D84+D85+D86+D87+D88+D89+D90</f>
        <v>8700.33635</v>
      </c>
      <c r="E68" s="122">
        <f>E69+E70+E71+E72+E73+E74+E75+E76+E77+E78+E79+E80+E81+E82+E83+E84+E85+E86+E87+E88+E89+E90</f>
        <v>18508.023699999998</v>
      </c>
      <c r="F68" s="122">
        <f>F69+F70+F71+F72+F73+F74+F75+F76+F77+F78+F79+F80+F81+F82+F83+F84+F85+F86+F87+F88+F89+F90</f>
        <v>27762.36105</v>
      </c>
      <c r="G68" s="99"/>
      <c r="N68" s="214"/>
    </row>
    <row r="69" spans="1:9" ht="15.75">
      <c r="A69" s="32" t="s">
        <v>211</v>
      </c>
      <c r="B69" s="90" t="s">
        <v>141</v>
      </c>
      <c r="C69" s="217">
        <v>24977</v>
      </c>
      <c r="D69" s="115">
        <v>5819</v>
      </c>
      <c r="E69" s="115">
        <v>12488.5</v>
      </c>
      <c r="F69" s="115">
        <v>18733</v>
      </c>
      <c r="G69" s="47"/>
      <c r="I69" s="6" t="s">
        <v>88</v>
      </c>
    </row>
    <row r="70" spans="1:11" ht="15.75">
      <c r="A70" s="175" t="s">
        <v>212</v>
      </c>
      <c r="B70" s="91" t="s">
        <v>142</v>
      </c>
      <c r="C70" s="217">
        <f>C69*30.2/100</f>
        <v>7543.054</v>
      </c>
      <c r="D70" s="115">
        <f>D69*0.302</f>
        <v>1757.338</v>
      </c>
      <c r="E70" s="115">
        <f>E69*0.302</f>
        <v>3771.527</v>
      </c>
      <c r="F70" s="115">
        <f>F69*0.302</f>
        <v>5657.366</v>
      </c>
      <c r="G70" s="47">
        <f>C69+C70+C27+C28</f>
        <v>168883.722</v>
      </c>
      <c r="H70" s="5">
        <f>G70/C9*100</f>
        <v>49.769758642029885</v>
      </c>
      <c r="I70" s="6" t="s">
        <v>172</v>
      </c>
      <c r="J70" s="5" t="s">
        <v>4</v>
      </c>
      <c r="K70" s="5" t="s">
        <v>173</v>
      </c>
    </row>
    <row r="71" spans="1:12" ht="15.75">
      <c r="A71" s="32" t="s">
        <v>213</v>
      </c>
      <c r="B71" s="88" t="s">
        <v>143</v>
      </c>
      <c r="C71" s="123">
        <v>120.3</v>
      </c>
      <c r="D71" s="115">
        <f aca="true" t="shared" si="9" ref="D71:D90">C71/4</f>
        <v>30.075</v>
      </c>
      <c r="E71" s="115">
        <f aca="true" t="shared" si="10" ref="E71:E90">C71/2</f>
        <v>60.15</v>
      </c>
      <c r="F71" s="115">
        <f aca="true" t="shared" si="11" ref="F71:F90">C71/12*9</f>
        <v>90.22500000000001</v>
      </c>
      <c r="G71" s="47"/>
      <c r="I71" s="5">
        <f>3815029*12/1000</f>
        <v>45780.348</v>
      </c>
      <c r="J71" s="5">
        <f>C69</f>
        <v>24977</v>
      </c>
      <c r="K71" s="5">
        <f>2081375*12/1000</f>
        <v>24976.5</v>
      </c>
      <c r="L71" s="6">
        <f>K71/12</f>
        <v>2081.375</v>
      </c>
    </row>
    <row r="72" spans="1:12" ht="15.75">
      <c r="A72" s="32" t="s">
        <v>214</v>
      </c>
      <c r="B72" s="88" t="s">
        <v>144</v>
      </c>
      <c r="C72" s="123">
        <v>44</v>
      </c>
      <c r="D72" s="115">
        <f t="shared" si="9"/>
        <v>11</v>
      </c>
      <c r="E72" s="115">
        <f t="shared" si="10"/>
        <v>22</v>
      </c>
      <c r="F72" s="115">
        <f t="shared" si="11"/>
        <v>33</v>
      </c>
      <c r="G72" s="47"/>
      <c r="I72" s="5">
        <f>I71</f>
        <v>45780.348</v>
      </c>
      <c r="J72" s="5">
        <f>C27+J71</f>
        <v>129711</v>
      </c>
      <c r="L72" s="6">
        <f>SUM(L71:L71)</f>
        <v>2081.375</v>
      </c>
    </row>
    <row r="73" spans="1:11" ht="15.75">
      <c r="A73" s="32" t="s">
        <v>215</v>
      </c>
      <c r="B73" s="88" t="s">
        <v>145</v>
      </c>
      <c r="C73" s="123">
        <v>280</v>
      </c>
      <c r="D73" s="115">
        <f t="shared" si="9"/>
        <v>70</v>
      </c>
      <c r="E73" s="115">
        <f t="shared" si="10"/>
        <v>140</v>
      </c>
      <c r="F73" s="115">
        <f t="shared" si="11"/>
        <v>210</v>
      </c>
      <c r="J73" s="5">
        <f>I72-J72</f>
        <v>-83930.652</v>
      </c>
      <c r="K73" s="5">
        <f>I72-K72</f>
        <v>45780.348</v>
      </c>
    </row>
    <row r="74" spans="1:6" ht="15.75">
      <c r="A74" s="32" t="s">
        <v>216</v>
      </c>
      <c r="B74" s="88" t="s">
        <v>146</v>
      </c>
      <c r="C74" s="123">
        <v>15.5</v>
      </c>
      <c r="D74" s="115">
        <f t="shared" si="9"/>
        <v>3.875</v>
      </c>
      <c r="E74" s="115">
        <f t="shared" si="10"/>
        <v>7.75</v>
      </c>
      <c r="F74" s="115">
        <f t="shared" si="11"/>
        <v>11.625</v>
      </c>
    </row>
    <row r="75" spans="1:6" ht="19.5" customHeight="1">
      <c r="A75" s="32" t="s">
        <v>217</v>
      </c>
      <c r="B75" s="88" t="s">
        <v>147</v>
      </c>
      <c r="C75" s="123">
        <v>360</v>
      </c>
      <c r="D75" s="115">
        <f t="shared" si="9"/>
        <v>90</v>
      </c>
      <c r="E75" s="115">
        <f t="shared" si="10"/>
        <v>180</v>
      </c>
      <c r="F75" s="115">
        <f t="shared" si="11"/>
        <v>270</v>
      </c>
    </row>
    <row r="76" spans="1:6" ht="15.75">
      <c r="A76" s="32" t="s">
        <v>218</v>
      </c>
      <c r="B76" s="83" t="s">
        <v>148</v>
      </c>
      <c r="C76" s="123">
        <v>50</v>
      </c>
      <c r="D76" s="115">
        <f t="shared" si="9"/>
        <v>12.5</v>
      </c>
      <c r="E76" s="115">
        <f t="shared" si="10"/>
        <v>25</v>
      </c>
      <c r="F76" s="115">
        <f t="shared" si="11"/>
        <v>37.5</v>
      </c>
    </row>
    <row r="77" spans="1:6" ht="15.75">
      <c r="A77" s="32" t="s">
        <v>219</v>
      </c>
      <c r="B77" s="83" t="s">
        <v>149</v>
      </c>
      <c r="C77" s="123">
        <v>22</v>
      </c>
      <c r="D77" s="115">
        <f t="shared" si="9"/>
        <v>5.5</v>
      </c>
      <c r="E77" s="115">
        <f t="shared" si="10"/>
        <v>11</v>
      </c>
      <c r="F77" s="115">
        <f t="shared" si="11"/>
        <v>16.5</v>
      </c>
    </row>
    <row r="78" spans="1:6" ht="15.75">
      <c r="A78" s="32" t="s">
        <v>220</v>
      </c>
      <c r="B78" s="83" t="s">
        <v>150</v>
      </c>
      <c r="C78" s="123">
        <v>158.87340000000003</v>
      </c>
      <c r="D78" s="115">
        <f t="shared" si="9"/>
        <v>39.71835000000001</v>
      </c>
      <c r="E78" s="115">
        <f t="shared" si="10"/>
        <v>79.43670000000002</v>
      </c>
      <c r="F78" s="115">
        <f t="shared" si="11"/>
        <v>119.15505000000003</v>
      </c>
    </row>
    <row r="79" spans="1:6" ht="15.75">
      <c r="A79" s="32" t="s">
        <v>221</v>
      </c>
      <c r="B79" s="83" t="s">
        <v>151</v>
      </c>
      <c r="C79" s="123">
        <v>296</v>
      </c>
      <c r="D79" s="115">
        <f t="shared" si="9"/>
        <v>74</v>
      </c>
      <c r="E79" s="115">
        <f t="shared" si="10"/>
        <v>148</v>
      </c>
      <c r="F79" s="115">
        <f t="shared" si="11"/>
        <v>222</v>
      </c>
    </row>
    <row r="80" spans="1:6" ht="15.75">
      <c r="A80" s="32" t="s">
        <v>222</v>
      </c>
      <c r="B80" s="83" t="s">
        <v>152</v>
      </c>
      <c r="C80" s="123">
        <v>140</v>
      </c>
      <c r="D80" s="115">
        <f t="shared" si="9"/>
        <v>35</v>
      </c>
      <c r="E80" s="115">
        <f t="shared" si="10"/>
        <v>70</v>
      </c>
      <c r="F80" s="115">
        <f t="shared" si="11"/>
        <v>105</v>
      </c>
    </row>
    <row r="81" spans="1:6" ht="15.75">
      <c r="A81" s="32" t="s">
        <v>223</v>
      </c>
      <c r="B81" s="83" t="s">
        <v>153</v>
      </c>
      <c r="C81" s="123">
        <v>195.24</v>
      </c>
      <c r="D81" s="115">
        <f t="shared" si="9"/>
        <v>48.81</v>
      </c>
      <c r="E81" s="115">
        <f t="shared" si="10"/>
        <v>97.62</v>
      </c>
      <c r="F81" s="115">
        <f t="shared" si="11"/>
        <v>146.43</v>
      </c>
    </row>
    <row r="82" spans="1:6" ht="15.75">
      <c r="A82" s="32" t="s">
        <v>224</v>
      </c>
      <c r="B82" s="83" t="s">
        <v>154</v>
      </c>
      <c r="C82" s="123">
        <v>292.3</v>
      </c>
      <c r="D82" s="115">
        <f t="shared" si="9"/>
        <v>73.075</v>
      </c>
      <c r="E82" s="115">
        <f t="shared" si="10"/>
        <v>146.15</v>
      </c>
      <c r="F82" s="115">
        <f t="shared" si="11"/>
        <v>219.22500000000002</v>
      </c>
    </row>
    <row r="83" spans="1:6" ht="15.75">
      <c r="A83" s="32" t="s">
        <v>225</v>
      </c>
      <c r="B83" s="83" t="s">
        <v>155</v>
      </c>
      <c r="C83" s="123">
        <v>121</v>
      </c>
      <c r="D83" s="115">
        <f t="shared" si="9"/>
        <v>30.25</v>
      </c>
      <c r="E83" s="115">
        <f t="shared" si="10"/>
        <v>60.5</v>
      </c>
      <c r="F83" s="115">
        <f t="shared" si="11"/>
        <v>90.75</v>
      </c>
    </row>
    <row r="84" spans="1:6" ht="15.75">
      <c r="A84" s="32" t="s">
        <v>226</v>
      </c>
      <c r="B84" s="83" t="s">
        <v>133</v>
      </c>
      <c r="C84" s="123">
        <v>82.5</v>
      </c>
      <c r="D84" s="115">
        <f t="shared" si="9"/>
        <v>20.625</v>
      </c>
      <c r="E84" s="115">
        <f t="shared" si="10"/>
        <v>41.25</v>
      </c>
      <c r="F84" s="115">
        <f t="shared" si="11"/>
        <v>61.875</v>
      </c>
    </row>
    <row r="85" spans="1:6" ht="15.75">
      <c r="A85" s="32" t="s">
        <v>227</v>
      </c>
      <c r="B85" s="83" t="s">
        <v>156</v>
      </c>
      <c r="C85" s="123">
        <v>1343</v>
      </c>
      <c r="D85" s="115">
        <f t="shared" si="9"/>
        <v>335.75</v>
      </c>
      <c r="E85" s="115">
        <f t="shared" si="10"/>
        <v>671.5</v>
      </c>
      <c r="F85" s="115">
        <f t="shared" si="11"/>
        <v>1007.25</v>
      </c>
    </row>
    <row r="86" spans="1:6" ht="15.75">
      <c r="A86" s="32" t="s">
        <v>228</v>
      </c>
      <c r="B86" s="83" t="s">
        <v>110</v>
      </c>
      <c r="C86" s="123">
        <v>190</v>
      </c>
      <c r="D86" s="115">
        <f t="shared" si="9"/>
        <v>47.5</v>
      </c>
      <c r="E86" s="115">
        <f t="shared" si="10"/>
        <v>95</v>
      </c>
      <c r="F86" s="115">
        <f t="shared" si="11"/>
        <v>142.5</v>
      </c>
    </row>
    <row r="87" spans="1:6" ht="15.75">
      <c r="A87" s="32" t="s">
        <v>229</v>
      </c>
      <c r="B87" s="83" t="s">
        <v>136</v>
      </c>
      <c r="C87" s="123">
        <v>18</v>
      </c>
      <c r="D87" s="115">
        <f t="shared" si="9"/>
        <v>4.5</v>
      </c>
      <c r="E87" s="115">
        <f t="shared" si="10"/>
        <v>9</v>
      </c>
      <c r="F87" s="115">
        <f t="shared" si="11"/>
        <v>13.5</v>
      </c>
    </row>
    <row r="88" spans="1:6" ht="15.75">
      <c r="A88" s="32" t="s">
        <v>230</v>
      </c>
      <c r="B88" s="83" t="s">
        <v>157</v>
      </c>
      <c r="C88" s="123">
        <v>246</v>
      </c>
      <c r="D88" s="115">
        <f>C88/4</f>
        <v>61.5</v>
      </c>
      <c r="E88" s="115">
        <f>C88/2</f>
        <v>123</v>
      </c>
      <c r="F88" s="115">
        <f>C88/12*9</f>
        <v>184.5</v>
      </c>
    </row>
    <row r="89" spans="1:6" ht="15.75">
      <c r="A89" s="32" t="s">
        <v>231</v>
      </c>
      <c r="B89" s="83" t="s">
        <v>158</v>
      </c>
      <c r="C89" s="123">
        <v>21.28</v>
      </c>
      <c r="D89" s="115">
        <f>C89/4</f>
        <v>5.32</v>
      </c>
      <c r="E89" s="115">
        <f>C89/2</f>
        <v>10.64</v>
      </c>
      <c r="F89" s="115">
        <f>C89/12*9</f>
        <v>15.96</v>
      </c>
    </row>
    <row r="90" spans="1:6" ht="15.75">
      <c r="A90" s="32" t="s">
        <v>232</v>
      </c>
      <c r="B90" s="85" t="s">
        <v>162</v>
      </c>
      <c r="C90" s="113">
        <v>500</v>
      </c>
      <c r="D90" s="115">
        <f t="shared" si="9"/>
        <v>125</v>
      </c>
      <c r="E90" s="115">
        <f t="shared" si="10"/>
        <v>250</v>
      </c>
      <c r="F90" s="115">
        <f t="shared" si="11"/>
        <v>375</v>
      </c>
    </row>
    <row r="91" spans="1:6" ht="31.5">
      <c r="A91" s="30">
        <v>6</v>
      </c>
      <c r="B91" s="31" t="s">
        <v>64</v>
      </c>
      <c r="C91" s="109">
        <f>C66-C68</f>
        <v>3881.2455066666444</v>
      </c>
      <c r="D91" s="109">
        <f>D66-D68</f>
        <v>719.3118766666721</v>
      </c>
      <c r="E91" s="109">
        <f>E66-E68</f>
        <v>2179.6907533333215</v>
      </c>
      <c r="F91" s="109">
        <f>F66-F68</f>
        <v>2681.209630000005</v>
      </c>
    </row>
    <row r="92" spans="1:6" ht="15.75">
      <c r="A92" s="32">
        <v>7</v>
      </c>
      <c r="B92" s="33" t="s">
        <v>65</v>
      </c>
      <c r="C92" s="113"/>
      <c r="D92" s="115"/>
      <c r="E92" s="115"/>
      <c r="F92" s="115"/>
    </row>
    <row r="93" spans="1:6" ht="15.75">
      <c r="A93" s="32">
        <v>8</v>
      </c>
      <c r="B93" s="33" t="s">
        <v>66</v>
      </c>
      <c r="C93" s="112"/>
      <c r="D93" s="115"/>
      <c r="E93" s="115"/>
      <c r="F93" s="115"/>
    </row>
    <row r="94" spans="1:6" ht="15.75">
      <c r="A94" s="35">
        <v>9</v>
      </c>
      <c r="B94" s="158" t="s">
        <v>174</v>
      </c>
      <c r="C94" s="110">
        <f>C95+C96</f>
        <v>10000</v>
      </c>
      <c r="D94" s="110">
        <f>D95+D96</f>
        <v>2500</v>
      </c>
      <c r="E94" s="110">
        <f>E95+E96</f>
        <v>5000</v>
      </c>
      <c r="F94" s="111">
        <f>F95+F96</f>
        <v>7500</v>
      </c>
    </row>
    <row r="95" spans="1:6" ht="15.75">
      <c r="A95" s="36" t="s">
        <v>70</v>
      </c>
      <c r="B95" s="38" t="s">
        <v>71</v>
      </c>
      <c r="C95" s="112">
        <v>6000</v>
      </c>
      <c r="D95" s="115">
        <f>C95/4</f>
        <v>1500</v>
      </c>
      <c r="E95" s="115">
        <f>C95/2</f>
        <v>3000</v>
      </c>
      <c r="F95" s="115">
        <f>C95/12*9</f>
        <v>4500</v>
      </c>
    </row>
    <row r="96" spans="1:6" ht="15.75">
      <c r="A96" s="36" t="s">
        <v>72</v>
      </c>
      <c r="B96" s="24" t="s">
        <v>73</v>
      </c>
      <c r="C96" s="112">
        <v>4000</v>
      </c>
      <c r="D96" s="115">
        <f>C96/4</f>
        <v>1000</v>
      </c>
      <c r="E96" s="115">
        <f>C96/2</f>
        <v>2000</v>
      </c>
      <c r="F96" s="115">
        <f>C96/12*9</f>
        <v>3000</v>
      </c>
    </row>
    <row r="97" spans="1:6" ht="15.75">
      <c r="A97" s="36"/>
      <c r="B97" s="39"/>
      <c r="C97" s="112"/>
      <c r="D97" s="115"/>
      <c r="E97" s="115"/>
      <c r="F97" s="115"/>
    </row>
    <row r="98" spans="1:6" ht="15.75">
      <c r="A98" s="35">
        <v>10</v>
      </c>
      <c r="B98" s="105" t="s">
        <v>175</v>
      </c>
      <c r="C98" s="110">
        <f>C99+C100+C101+C102</f>
        <v>10000</v>
      </c>
      <c r="D98" s="110">
        <f>D99+D100+D101+D102</f>
        <v>2500</v>
      </c>
      <c r="E98" s="110">
        <f>E99+E100+E101+E102</f>
        <v>5000</v>
      </c>
      <c r="F98" s="111">
        <f>F99+F100+F101+F102</f>
        <v>7500</v>
      </c>
    </row>
    <row r="99" spans="1:6" ht="31.5">
      <c r="A99" s="40" t="s">
        <v>75</v>
      </c>
      <c r="B99" s="39" t="s">
        <v>76</v>
      </c>
      <c r="C99" s="112">
        <v>6000</v>
      </c>
      <c r="D99" s="115">
        <f>C99/4</f>
        <v>1500</v>
      </c>
      <c r="E99" s="115">
        <f>C99/2</f>
        <v>3000</v>
      </c>
      <c r="F99" s="115">
        <f>C99/12*9</f>
        <v>4500</v>
      </c>
    </row>
    <row r="100" spans="1:6" ht="15.75">
      <c r="A100" s="40" t="s">
        <v>77</v>
      </c>
      <c r="B100" s="39" t="s">
        <v>78</v>
      </c>
      <c r="C100" s="112">
        <v>400</v>
      </c>
      <c r="D100" s="115">
        <f>C100/4</f>
        <v>100</v>
      </c>
      <c r="E100" s="115">
        <f>C100/2</f>
        <v>200</v>
      </c>
      <c r="F100" s="115">
        <f>C100/12*9</f>
        <v>300</v>
      </c>
    </row>
    <row r="101" spans="1:6" ht="15.75">
      <c r="A101" s="40" t="s">
        <v>79</v>
      </c>
      <c r="B101" s="39" t="s">
        <v>80</v>
      </c>
      <c r="C101" s="112">
        <v>2000</v>
      </c>
      <c r="D101" s="115">
        <f>C101/4</f>
        <v>500</v>
      </c>
      <c r="E101" s="115">
        <f>C101/2</f>
        <v>1000</v>
      </c>
      <c r="F101" s="115">
        <f>C101/12*9</f>
        <v>1500</v>
      </c>
    </row>
    <row r="102" spans="1:6" ht="15.75">
      <c r="A102" s="36" t="s">
        <v>81</v>
      </c>
      <c r="B102" s="39" t="s">
        <v>60</v>
      </c>
      <c r="C102" s="112">
        <v>1600</v>
      </c>
      <c r="D102" s="115">
        <f>C102/4</f>
        <v>400</v>
      </c>
      <c r="E102" s="115">
        <f>C102/2</f>
        <v>800</v>
      </c>
      <c r="F102" s="115">
        <f>C102/12*9</f>
        <v>1200</v>
      </c>
    </row>
    <row r="103" spans="1:11" s="42" customFormat="1" ht="42.75">
      <c r="A103" s="30">
        <v>11</v>
      </c>
      <c r="B103" s="41" t="s">
        <v>82</v>
      </c>
      <c r="C103" s="108">
        <f>C91+C92-C93+C94-C98</f>
        <v>3881.2455066666444</v>
      </c>
      <c r="D103" s="108">
        <f>D91+D92-D93+D94-D98</f>
        <v>719.3118766666721</v>
      </c>
      <c r="E103" s="108">
        <f>E91+E92-E93+E94-E98</f>
        <v>2179.6907533333215</v>
      </c>
      <c r="F103" s="109">
        <f>F91+F92-F93+F94-F98</f>
        <v>2681.209630000005</v>
      </c>
      <c r="G103" s="70"/>
      <c r="H103" s="78"/>
      <c r="J103" s="78"/>
      <c r="K103" s="78"/>
    </row>
    <row r="104" spans="1:6" ht="15.75">
      <c r="A104" s="32">
        <v>12</v>
      </c>
      <c r="B104" s="33" t="s">
        <v>83</v>
      </c>
      <c r="C104" s="112">
        <f>C103*0.2</f>
        <v>776.2491013333289</v>
      </c>
      <c r="D104" s="112">
        <f>D103*0.2</f>
        <v>143.86237533333443</v>
      </c>
      <c r="E104" s="112">
        <f>E103*0.2</f>
        <v>435.93815066666434</v>
      </c>
      <c r="F104" s="113">
        <f>F103*0.2</f>
        <v>536.241926000001</v>
      </c>
    </row>
    <row r="105" spans="1:6" ht="60.75" customHeight="1">
      <c r="A105" s="32">
        <v>13</v>
      </c>
      <c r="B105" s="43" t="s">
        <v>84</v>
      </c>
      <c r="C105" s="112"/>
      <c r="D105" s="115"/>
      <c r="E105" s="115"/>
      <c r="F105" s="115"/>
    </row>
    <row r="106" spans="1:7" s="5" customFormat="1" ht="28.5">
      <c r="A106" s="32">
        <v>14</v>
      </c>
      <c r="B106" s="44" t="s">
        <v>85</v>
      </c>
      <c r="C106" s="108">
        <f>C103-C104</f>
        <v>3104.9964053333156</v>
      </c>
      <c r="D106" s="108">
        <f>D103-D104</f>
        <v>575.4495013333377</v>
      </c>
      <c r="E106" s="108">
        <f>E103-E104</f>
        <v>1743.7526026666571</v>
      </c>
      <c r="F106" s="109">
        <f>F103-F104</f>
        <v>2144.967704000004</v>
      </c>
      <c r="G106" s="47"/>
    </row>
    <row r="109" spans="1:11" s="183" customFormat="1" ht="18.75">
      <c r="A109" s="182"/>
      <c r="B109" s="183" t="s">
        <v>238</v>
      </c>
      <c r="C109" s="184"/>
      <c r="D109" s="185" t="s">
        <v>239</v>
      </c>
      <c r="E109" s="185"/>
      <c r="F109" s="185"/>
      <c r="G109" s="186"/>
      <c r="H109" s="184"/>
      <c r="J109" s="184"/>
      <c r="K109" s="184"/>
    </row>
    <row r="111" spans="1:11" s="177" customFormat="1" ht="15.75">
      <c r="A111" s="176"/>
      <c r="B111" s="177" t="s">
        <v>233</v>
      </c>
      <c r="C111" s="178"/>
      <c r="D111" s="179"/>
      <c r="E111" s="179"/>
      <c r="F111" s="179"/>
      <c r="G111" s="180"/>
      <c r="H111" s="178"/>
      <c r="J111" s="178"/>
      <c r="K111" s="178"/>
    </row>
    <row r="112" spans="1:11" s="177" customFormat="1" ht="15.75">
      <c r="A112" s="176"/>
      <c r="B112" s="177" t="s">
        <v>234</v>
      </c>
      <c r="D112" s="178" t="s">
        <v>235</v>
      </c>
      <c r="E112" s="179"/>
      <c r="F112" s="179"/>
      <c r="G112" s="180"/>
      <c r="H112" s="178"/>
      <c r="J112" s="178"/>
      <c r="K112" s="178"/>
    </row>
  </sheetData>
  <sheetProtection/>
  <mergeCells count="8">
    <mergeCell ref="E7:E8"/>
    <mergeCell ref="F7:F8"/>
    <mergeCell ref="G7:G8"/>
    <mergeCell ref="A5:F5"/>
    <mergeCell ref="A7:A8"/>
    <mergeCell ref="B7:B8"/>
    <mergeCell ref="C7:C8"/>
    <mergeCell ref="D7:D8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Tatiana</cp:lastModifiedBy>
  <cp:lastPrinted>2017-05-26T11:35:12Z</cp:lastPrinted>
  <dcterms:created xsi:type="dcterms:W3CDTF">1996-10-08T23:32:33Z</dcterms:created>
  <dcterms:modified xsi:type="dcterms:W3CDTF">2017-05-26T13:00:09Z</dcterms:modified>
  <cp:category/>
  <cp:version/>
  <cp:contentType/>
  <cp:contentStatus/>
</cp:coreProperties>
</file>